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Van ban di phong NS\Năm 2023\Tổng quyết toán NSNN năm 2022\Tiếp thu ý kiến của Kiểm toán Nhà nước\"/>
    </mc:Choice>
  </mc:AlternateContent>
  <bookViews>
    <workbookView xWindow="360" yWindow="240" windowWidth="9180" windowHeight="3990" firstSheet="10" activeTab="16"/>
  </bookViews>
  <sheets>
    <sheet name="60" sheetId="1" r:id="rId1"/>
    <sheet name="61 (2)" sheetId="14" r:id="rId2"/>
    <sheet name="62 (2)" sheetId="15" r:id="rId3"/>
    <sheet name="61" sheetId="12" r:id="rId4"/>
    <sheet name="62" sheetId="13" r:id="rId5"/>
    <sheet name="PL4834" sheetId="17" r:id="rId6"/>
    <sheet name="PL5036" sheetId="18" r:id="rId7"/>
    <sheet name="PL5137" sheetId="19" r:id="rId8"/>
    <sheet name="PL5200" sheetId="20" r:id="rId9"/>
    <sheet name="PL5338" sheetId="21" r:id="rId10"/>
    <sheet name="PL5439 (ĐT)" sheetId="36" r:id="rId11"/>
    <sheet name="PL5439 (SN)" sheetId="34" r:id="rId12"/>
    <sheet name="PL5941" sheetId="24" r:id="rId13"/>
    <sheet name="PL5840" sheetId="23" r:id="rId14"/>
    <sheet name="PL6142 (HCSN)" sheetId="35" r:id="rId15"/>
    <sheet name="Biểu số 01" sheetId="37" r:id="rId16"/>
    <sheet name="Biểu số 70" sheetId="38" r:id="rId17"/>
    <sheet name="00000000" sheetId="11" state="veryHidden" r:id="rId18"/>
  </sheets>
  <externalReferences>
    <externalReference r:id="rId19"/>
    <externalReference r:id="rId20"/>
    <externalReference r:id="rId21"/>
    <externalReference r:id="rId22"/>
    <externalReference r:id="rId23"/>
  </externalReferences>
  <definedNames>
    <definedName name="ADP" localSheetId="10">#REF!</definedName>
    <definedName name="ADP" localSheetId="11">#REF!</definedName>
    <definedName name="ADP" localSheetId="14">#REF!</definedName>
    <definedName name="AKHAC" localSheetId="10">#REF!</definedName>
    <definedName name="AKHAC" localSheetId="11">#REF!</definedName>
    <definedName name="ALTINH" localSheetId="10">#REF!</definedName>
    <definedName name="ALTINH" localSheetId="11">#REF!</definedName>
    <definedName name="Anguon" localSheetId="5">'[1]Dt 2001'!#REF!</definedName>
    <definedName name="Anguon" localSheetId="8">'[1]Dt 2001'!#REF!</definedName>
    <definedName name="Anguon" localSheetId="10">'[1]Dt 2001'!#REF!</definedName>
    <definedName name="Anguon" localSheetId="11">'[2]Dt 2001'!#REF!</definedName>
    <definedName name="Anguon" localSheetId="13">'[1]Dt 2001'!#REF!</definedName>
    <definedName name="Anguon" localSheetId="14">'[3]Dt 2001'!#REF!</definedName>
    <definedName name="ANN" localSheetId="10">#REF!</definedName>
    <definedName name="ANN" localSheetId="11">#REF!</definedName>
    <definedName name="ANN" localSheetId="14">#REF!</definedName>
    <definedName name="ANQD" localSheetId="10">#REF!</definedName>
    <definedName name="ANQD" localSheetId="11">#REF!</definedName>
    <definedName name="ANQD" localSheetId="14">#REF!</definedName>
    <definedName name="ANQQH" localSheetId="5">'[1]Dt 2001'!#REF!</definedName>
    <definedName name="ANQQH" localSheetId="8">'[1]Dt 2001'!#REF!</definedName>
    <definedName name="ANQQH" localSheetId="10">'[1]Dt 2001'!#REF!</definedName>
    <definedName name="ANQQH" localSheetId="11">'[2]Dt 2001'!#REF!</definedName>
    <definedName name="ANQQH" localSheetId="13">'[1]Dt 2001'!#REF!</definedName>
    <definedName name="ANQQH" localSheetId="14">'[3]Dt 2001'!#REF!</definedName>
    <definedName name="ANSNN" localSheetId="5">'[1]Dt 2001'!#REF!</definedName>
    <definedName name="ANSNN" localSheetId="8">'[1]Dt 2001'!#REF!</definedName>
    <definedName name="ANSNN" localSheetId="10">'[1]Dt 2001'!#REF!</definedName>
    <definedName name="ANSNN" localSheetId="11">'[2]Dt 2001'!#REF!</definedName>
    <definedName name="ANSNN" localSheetId="13">'[1]Dt 2001'!#REF!</definedName>
    <definedName name="ANSNN" localSheetId="14">'[3]Dt 2001'!#REF!</definedName>
    <definedName name="ANSNNxnk" localSheetId="5">'[1]Dt 2001'!#REF!</definedName>
    <definedName name="ANSNNxnk" localSheetId="8">'[1]Dt 2001'!#REF!</definedName>
    <definedName name="ANSNNxnk" localSheetId="10">'[1]Dt 2001'!#REF!</definedName>
    <definedName name="ANSNNxnk" localSheetId="11">'[2]Dt 2001'!#REF!</definedName>
    <definedName name="ANSNNxnk" localSheetId="13">'[1]Dt 2001'!#REF!</definedName>
    <definedName name="ANSNNxnk" localSheetId="14">'[3]Dt 2001'!#REF!</definedName>
    <definedName name="APC" localSheetId="5">'[1]Dt 2001'!#REF!</definedName>
    <definedName name="APC" localSheetId="8">'[1]Dt 2001'!#REF!</definedName>
    <definedName name="APC" localSheetId="10">'[1]Dt 2001'!#REF!</definedName>
    <definedName name="APC" localSheetId="11">'[2]Dt 2001'!#REF!</definedName>
    <definedName name="APC" localSheetId="13">'[1]Dt 2001'!#REF!</definedName>
    <definedName name="APC" localSheetId="14">'[3]Dt 2001'!#REF!</definedName>
    <definedName name="ATW" localSheetId="10">#REF!</definedName>
    <definedName name="ATW" localSheetId="11">#REF!</definedName>
    <definedName name="ATW" localSheetId="14">#REF!</definedName>
    <definedName name="Can_doi" localSheetId="10">#REF!</definedName>
    <definedName name="Can_doi" localSheetId="11">#REF!</definedName>
    <definedName name="Can_doi" localSheetId="14">#REF!</definedName>
    <definedName name="DNNN" localSheetId="10">#REF!</definedName>
    <definedName name="DNNN" localSheetId="11">#REF!</definedName>
    <definedName name="DNNN" localSheetId="14">#REF!</definedName>
    <definedName name="Khac">#REF!</definedName>
    <definedName name="Khong_can_doi">#REF!</definedName>
    <definedName name="NQD">#REF!</definedName>
    <definedName name="NQQH" localSheetId="5">'[1]Dt 2001'!#REF!</definedName>
    <definedName name="NQQH" localSheetId="8">'[1]Dt 2001'!#REF!</definedName>
    <definedName name="NQQH" localSheetId="10">'[1]Dt 2001'!#REF!</definedName>
    <definedName name="NQQH" localSheetId="11">'[2]Dt 2001'!#REF!</definedName>
    <definedName name="NQQH" localSheetId="13">'[1]Dt 2001'!#REF!</definedName>
    <definedName name="NQQH" localSheetId="14">'[3]Dt 2001'!#REF!</definedName>
    <definedName name="NSNN" localSheetId="5">'[1]Dt 2001'!#REF!</definedName>
    <definedName name="NSNN" localSheetId="8">'[1]Dt 2001'!#REF!</definedName>
    <definedName name="NSNN" localSheetId="10">'[1]Dt 2001'!#REF!</definedName>
    <definedName name="NSNN" localSheetId="11">'[2]Dt 2001'!#REF!</definedName>
    <definedName name="NSNN" localSheetId="13">'[1]Dt 2001'!#REF!</definedName>
    <definedName name="NSNN" localSheetId="14">'[3]Dt 2001'!#REF!</definedName>
    <definedName name="PC" localSheetId="5">'[1]Dt 2001'!#REF!</definedName>
    <definedName name="PC" localSheetId="8">'[1]Dt 2001'!#REF!</definedName>
    <definedName name="PC" localSheetId="10">'[1]Dt 2001'!#REF!</definedName>
    <definedName name="PC" localSheetId="11">'[2]Dt 2001'!#REF!</definedName>
    <definedName name="PC" localSheetId="13">'[1]Dt 2001'!#REF!</definedName>
    <definedName name="PC" localSheetId="14">'[3]Dt 2001'!#REF!</definedName>
    <definedName name="Phan_cap" localSheetId="10">#REF!</definedName>
    <definedName name="Phan_cap" localSheetId="11">#REF!</definedName>
    <definedName name="Phan_cap" localSheetId="14">#REF!</definedName>
    <definedName name="Phi_le_phi" localSheetId="10">#REF!</definedName>
    <definedName name="Phi_le_phi" localSheetId="11">#REF!</definedName>
    <definedName name="Phi_le_phi" localSheetId="14">#REF!</definedName>
    <definedName name="_xlnm.Print_Area" localSheetId="0">'60'!$A$1:$L$21</definedName>
    <definedName name="_xlnm.Print_Area" localSheetId="3">'61'!$A$1:$K$91</definedName>
    <definedName name="_xlnm.Print_Area" localSheetId="1">'61 (2)'!$A$1:$K$73</definedName>
    <definedName name="_xlnm.Print_Area" localSheetId="4">'62'!$A$1:$J$48</definedName>
    <definedName name="_xlnm.Print_Area" localSheetId="2">'62 (2)'!$A$1:$J$43</definedName>
    <definedName name="_xlnm.Print_Area" localSheetId="15">'Biểu số 01'!$A$1:$F$25</definedName>
    <definedName name="_xlnm.Print_Area" localSheetId="5">'PL4834'!$A$1:$F$42</definedName>
    <definedName name="_xlnm.Print_Area" localSheetId="6">'PL5036'!$A$1:$L$88</definedName>
    <definedName name="_xlnm.Print_Area" localSheetId="7">'PL5137'!$A$1:$E$23</definedName>
    <definedName name="_xlnm.Print_Area" localSheetId="8">'PL5200'!$A$1:$F$36</definedName>
    <definedName name="_xlnm.Print_Area" localSheetId="9">'PL5338'!$A$1:$K$26</definedName>
    <definedName name="_xlnm.Print_Area" localSheetId="10">'PL5439 (ĐT)'!$A$1:$S$43</definedName>
    <definedName name="_xlnm.Print_Area" localSheetId="11">'PL5439 (SN)'!#REF!</definedName>
    <definedName name="_xlnm.Print_Area" localSheetId="13" xml:space="preserve">                                                  'PL5840'!$A$1:$AA$22</definedName>
    <definedName name="_xlnm.Print_Area" localSheetId="12">'PL5941'!$A$1:$Z$28</definedName>
    <definedName name="_xlnm.Print_Area" localSheetId="14">'PL6142 (HCSN)'!#REF!</definedName>
    <definedName name="_xlnm.Print_Area">#REF!</definedName>
    <definedName name="PRINT_AREA_MI" localSheetId="5">#REF!</definedName>
    <definedName name="PRINT_AREA_MI" localSheetId="8">#REF!</definedName>
    <definedName name="PRINT_AREA_MI" localSheetId="10">#REF!</definedName>
    <definedName name="PRINT_AREA_MI" localSheetId="11">#REF!</definedName>
    <definedName name="PRINT_AREA_MI" localSheetId="13">#REF!</definedName>
    <definedName name="PRINT_AREA_MI" localSheetId="14">#REF!</definedName>
    <definedName name="_xlnm.Print_Titles" localSheetId="0">'60'!$6:$8</definedName>
    <definedName name="_xlnm.Print_Titles" localSheetId="3">'61'!$6:$9</definedName>
    <definedName name="_xlnm.Print_Titles" localSheetId="1">'61 (2)'!$6:$9</definedName>
    <definedName name="_xlnm.Print_Titles" localSheetId="4">'62'!$7:$10</definedName>
    <definedName name="_xlnm.Print_Titles" localSheetId="2">'62 (2)'!$8:$11</definedName>
    <definedName name="_xlnm.Print_Titles" localSheetId="5">'PL4834'!$8:$9</definedName>
    <definedName name="_xlnm.Print_Titles" localSheetId="6">'PL5036'!$7:$9</definedName>
    <definedName name="_xlnm.Print_Titles" localSheetId="7">'PL5137'!$7:$7</definedName>
    <definedName name="_xlnm.Print_Titles" localSheetId="8">'PL5200'!$9:$10</definedName>
    <definedName name="_xlnm.Print_Titles" localSheetId="9">'PL5338'!$8:$9</definedName>
    <definedName name="_xlnm.Print_Titles" localSheetId="10">'PL5439 (ĐT)'!$6:$10</definedName>
    <definedName name="_xlnm.Print_Titles" localSheetId="11">'PL5439 (SN)'!$7:$12</definedName>
    <definedName name="_xlnm.Print_Titles" localSheetId="13">'PL5840'!$6:$9</definedName>
    <definedName name="_xlnm.Print_Titles" localSheetId="12">'PL5941'!$8:$10</definedName>
    <definedName name="_xlnm.Print_Titles" localSheetId="14">'PL6142 (HCSN)'!$7:$8</definedName>
    <definedName name="_xlnm.Print_Titles">#N/A</definedName>
    <definedName name="TW" localSheetId="10">#REF!</definedName>
    <definedName name="TW" localSheetId="11">#REF!</definedName>
    <definedName name="TW" localSheetId="14">#REF!</definedName>
  </definedNames>
  <calcPr calcId="162913"/>
  <fileRecoveryPr autoRecover="0"/>
</workbook>
</file>

<file path=xl/calcChain.xml><?xml version="1.0" encoding="utf-8"?>
<calcChain xmlns="http://schemas.openxmlformats.org/spreadsheetml/2006/main">
  <c r="D15" i="38" l="1"/>
  <c r="F33" i="13" l="1"/>
  <c r="F34" i="15"/>
  <c r="F39" i="15"/>
  <c r="G34" i="15"/>
  <c r="C18" i="38"/>
  <c r="E17" i="38"/>
  <c r="F17" i="38" s="1"/>
  <c r="D17" i="38"/>
  <c r="D18" i="38" s="1"/>
  <c r="F16" i="38"/>
  <c r="E16" i="38"/>
  <c r="E15" i="38"/>
  <c r="F15" i="38" s="1"/>
  <c r="F14" i="38"/>
  <c r="E14" i="38"/>
  <c r="F13" i="38"/>
  <c r="E13" i="38"/>
  <c r="F12" i="38"/>
  <c r="E12" i="38"/>
  <c r="E11" i="38"/>
  <c r="F11" i="38" s="1"/>
  <c r="F10" i="38"/>
  <c r="E10" i="38"/>
  <c r="E18" i="38" l="1"/>
  <c r="F18" i="38" s="1"/>
  <c r="H43" i="36"/>
  <c r="H12" i="36" s="1"/>
  <c r="D12" i="36"/>
  <c r="V13" i="36"/>
  <c r="L12" i="36"/>
  <c r="N12" i="36"/>
  <c r="O12" i="36"/>
  <c r="K12" i="36"/>
  <c r="F12" i="36"/>
  <c r="M42" i="36" l="1"/>
  <c r="G42" i="36" s="1"/>
  <c r="C42" i="36"/>
  <c r="M41" i="36"/>
  <c r="G41" i="36"/>
  <c r="C41" i="36"/>
  <c r="M40" i="36"/>
  <c r="G40" i="36" s="1"/>
  <c r="C40" i="36"/>
  <c r="M39" i="36"/>
  <c r="G39" i="36"/>
  <c r="C39" i="36"/>
  <c r="M38" i="36"/>
  <c r="G38" i="36" s="1"/>
  <c r="C38" i="36"/>
  <c r="M37" i="36"/>
  <c r="G37" i="36"/>
  <c r="C37" i="36"/>
  <c r="P36" i="36"/>
  <c r="M36" i="36"/>
  <c r="G36" i="36"/>
  <c r="C36" i="36"/>
  <c r="M35" i="36"/>
  <c r="G35" i="36" s="1"/>
  <c r="C35" i="36"/>
  <c r="M34" i="36"/>
  <c r="G34" i="36" s="1"/>
  <c r="C34" i="36"/>
  <c r="M33" i="36"/>
  <c r="G33" i="36" s="1"/>
  <c r="C33" i="36"/>
  <c r="P32" i="36"/>
  <c r="P12" i="36" s="1"/>
  <c r="M32" i="36"/>
  <c r="G32" i="36" s="1"/>
  <c r="C32" i="36"/>
  <c r="M31" i="36"/>
  <c r="G31" i="36" s="1"/>
  <c r="C31" i="36"/>
  <c r="M30" i="36"/>
  <c r="G30" i="36" s="1"/>
  <c r="C30" i="36"/>
  <c r="M29" i="36"/>
  <c r="G29" i="36"/>
  <c r="C29" i="36"/>
  <c r="M28" i="36"/>
  <c r="G28" i="36" s="1"/>
  <c r="C28" i="36"/>
  <c r="M27" i="36"/>
  <c r="G27" i="36"/>
  <c r="C27" i="36"/>
  <c r="M26" i="36"/>
  <c r="G26" i="36" s="1"/>
  <c r="C26" i="36"/>
  <c r="M25" i="36"/>
  <c r="G25" i="36"/>
  <c r="C25" i="36"/>
  <c r="M24" i="36"/>
  <c r="G24" i="36" s="1"/>
  <c r="C24" i="36"/>
  <c r="M23" i="36"/>
  <c r="G23" i="36" s="1"/>
  <c r="C23" i="36"/>
  <c r="M22" i="36"/>
  <c r="G22" i="36" s="1"/>
  <c r="C22" i="36"/>
  <c r="M21" i="36"/>
  <c r="G21" i="36"/>
  <c r="C21" i="36"/>
  <c r="M20" i="36"/>
  <c r="G20" i="36" s="1"/>
  <c r="C20" i="36"/>
  <c r="M19" i="36"/>
  <c r="G19" i="36"/>
  <c r="C19" i="36"/>
  <c r="M18" i="36"/>
  <c r="G18" i="36" s="1"/>
  <c r="C18" i="36"/>
  <c r="M17" i="36"/>
  <c r="G17" i="36"/>
  <c r="C17" i="36"/>
  <c r="M16" i="36"/>
  <c r="G16" i="36" s="1"/>
  <c r="C16" i="36"/>
  <c r="M15" i="36"/>
  <c r="G15" i="36" s="1"/>
  <c r="C15" i="36"/>
  <c r="M14" i="36"/>
  <c r="C14" i="36"/>
  <c r="C12" i="36" s="1"/>
  <c r="S12" i="36"/>
  <c r="R12" i="36"/>
  <c r="Q12" i="36"/>
  <c r="J12" i="36"/>
  <c r="I12" i="36"/>
  <c r="E12" i="36"/>
  <c r="H11" i="36"/>
  <c r="J11" i="36" s="1"/>
  <c r="K11" i="36" s="1"/>
  <c r="L11" i="36" s="1"/>
  <c r="M11" i="36" s="1"/>
  <c r="N11" i="36" s="1"/>
  <c r="O11" i="36" s="1"/>
  <c r="P11" i="36" s="1"/>
  <c r="D11" i="36"/>
  <c r="A1" i="36"/>
  <c r="G14" i="36" l="1"/>
  <c r="G12" i="36" s="1"/>
  <c r="M12" i="36"/>
  <c r="G26" i="15"/>
  <c r="G32" i="15"/>
  <c r="H32" i="15"/>
  <c r="V12" i="36" l="1"/>
  <c r="A35" i="35" l="1"/>
  <c r="A37" i="35"/>
  <c r="A39" i="35"/>
  <c r="X40" i="35"/>
  <c r="U40" i="35"/>
  <c r="R40" i="35"/>
  <c r="Q40" i="35"/>
  <c r="P40" i="35"/>
  <c r="L40" i="35"/>
  <c r="I40" i="35"/>
  <c r="F40" i="35"/>
  <c r="E40" i="35"/>
  <c r="D40" i="35"/>
  <c r="X39" i="35"/>
  <c r="U39" i="35"/>
  <c r="R39" i="35"/>
  <c r="Q39" i="35"/>
  <c r="P39" i="35"/>
  <c r="L39" i="35"/>
  <c r="I39" i="35"/>
  <c r="F39" i="35"/>
  <c r="E39" i="35"/>
  <c r="D39" i="35"/>
  <c r="C39" i="35" s="1"/>
  <c r="X38" i="35"/>
  <c r="U38" i="35"/>
  <c r="R38" i="35"/>
  <c r="Q38" i="35"/>
  <c r="O38" i="35" s="1"/>
  <c r="P38" i="35"/>
  <c r="L38" i="35"/>
  <c r="I38" i="35"/>
  <c r="F38" i="35"/>
  <c r="E38" i="35"/>
  <c r="D38" i="35"/>
  <c r="X37" i="35"/>
  <c r="U37" i="35"/>
  <c r="R37" i="35"/>
  <c r="Q37" i="35"/>
  <c r="P37" i="35"/>
  <c r="L37" i="35"/>
  <c r="I37" i="35"/>
  <c r="F37" i="35"/>
  <c r="E37" i="35"/>
  <c r="D37" i="35"/>
  <c r="X36" i="35"/>
  <c r="U36" i="35"/>
  <c r="R36" i="35"/>
  <c r="Q36" i="35"/>
  <c r="P36" i="35"/>
  <c r="L36" i="35"/>
  <c r="I36" i="35"/>
  <c r="F36" i="35"/>
  <c r="E36" i="35"/>
  <c r="D36" i="35"/>
  <c r="X35" i="35"/>
  <c r="U35" i="35"/>
  <c r="R35" i="35"/>
  <c r="Q35" i="35"/>
  <c r="P35" i="35"/>
  <c r="L35" i="35"/>
  <c r="L29" i="35" s="1"/>
  <c r="I35" i="35"/>
  <c r="F35" i="35"/>
  <c r="E35" i="35"/>
  <c r="D35" i="35"/>
  <c r="D29" i="35" s="1"/>
  <c r="D10" i="35" s="1"/>
  <c r="X34" i="35"/>
  <c r="U34" i="35"/>
  <c r="R34" i="35"/>
  <c r="Q34" i="35"/>
  <c r="P34" i="35"/>
  <c r="L34" i="35"/>
  <c r="I34" i="35"/>
  <c r="F34" i="35"/>
  <c r="E34" i="35"/>
  <c r="D34" i="35"/>
  <c r="C34" i="35" s="1"/>
  <c r="X33" i="35"/>
  <c r="U33" i="35"/>
  <c r="U29" i="35" s="1"/>
  <c r="R33" i="35"/>
  <c r="Q33" i="35"/>
  <c r="P33" i="35"/>
  <c r="O33" i="35"/>
  <c r="L33" i="35"/>
  <c r="I33" i="35"/>
  <c r="F33" i="35"/>
  <c r="E33" i="35"/>
  <c r="AC33" i="35" s="1"/>
  <c r="D33" i="35"/>
  <c r="X32" i="35"/>
  <c r="U32" i="35"/>
  <c r="R32" i="35"/>
  <c r="Q32" i="35"/>
  <c r="P32" i="35"/>
  <c r="L32" i="35"/>
  <c r="I32" i="35"/>
  <c r="F32" i="35"/>
  <c r="E32" i="35"/>
  <c r="D32" i="35"/>
  <c r="C32" i="35"/>
  <c r="X31" i="35"/>
  <c r="U31" i="35"/>
  <c r="R31" i="35"/>
  <c r="Q31" i="35"/>
  <c r="Q29" i="35" s="1"/>
  <c r="P31" i="35"/>
  <c r="L31" i="35"/>
  <c r="I31" i="35"/>
  <c r="F31" i="35"/>
  <c r="E31" i="35"/>
  <c r="D31" i="35"/>
  <c r="C31" i="35" s="1"/>
  <c r="A31" i="35"/>
  <c r="X30" i="35"/>
  <c r="U30" i="35"/>
  <c r="R30" i="35"/>
  <c r="Q30" i="35"/>
  <c r="P30" i="35"/>
  <c r="O30" i="35" s="1"/>
  <c r="L30" i="35"/>
  <c r="I30" i="35"/>
  <c r="I29" i="35" s="1"/>
  <c r="F30" i="35"/>
  <c r="E30" i="35"/>
  <c r="C30" i="35" s="1"/>
  <c r="D30" i="35"/>
  <c r="Z29" i="35"/>
  <c r="Y29" i="35"/>
  <c r="X29" i="35"/>
  <c r="W29" i="35"/>
  <c r="V29" i="35"/>
  <c r="T29" i="35"/>
  <c r="S29" i="35"/>
  <c r="N29" i="35"/>
  <c r="M29" i="35"/>
  <c r="K29" i="35"/>
  <c r="J29" i="35"/>
  <c r="H29" i="35"/>
  <c r="G29" i="35"/>
  <c r="E29" i="35"/>
  <c r="X28" i="35"/>
  <c r="U28" i="35"/>
  <c r="R28" i="35"/>
  <c r="Q28" i="35"/>
  <c r="P28" i="35"/>
  <c r="O28" i="35" s="1"/>
  <c r="I28" i="35"/>
  <c r="F28" i="35"/>
  <c r="E28" i="35"/>
  <c r="C28" i="35" s="1"/>
  <c r="X27" i="35"/>
  <c r="U27" i="35"/>
  <c r="R27" i="35"/>
  <c r="Q27" i="35"/>
  <c r="P27" i="35"/>
  <c r="O27" i="35" s="1"/>
  <c r="I27" i="35"/>
  <c r="F27" i="35"/>
  <c r="E27" i="35"/>
  <c r="C27" i="35" s="1"/>
  <c r="X26" i="35"/>
  <c r="U26" i="35"/>
  <c r="R26" i="35"/>
  <c r="Q26" i="35"/>
  <c r="P26" i="35"/>
  <c r="L26" i="35"/>
  <c r="I26" i="35"/>
  <c r="F26" i="35"/>
  <c r="E26" i="35"/>
  <c r="C26" i="35" s="1"/>
  <c r="X25" i="35"/>
  <c r="U25" i="35"/>
  <c r="R25" i="35"/>
  <c r="Q25" i="35"/>
  <c r="P25" i="35"/>
  <c r="L25" i="35"/>
  <c r="I25" i="35"/>
  <c r="F25" i="35"/>
  <c r="E25" i="35"/>
  <c r="C25" i="35" s="1"/>
  <c r="X24" i="35"/>
  <c r="U24" i="35"/>
  <c r="R24" i="35"/>
  <c r="Q24" i="35"/>
  <c r="P24" i="35"/>
  <c r="O24" i="35" s="1"/>
  <c r="L24" i="35"/>
  <c r="I24" i="35"/>
  <c r="F24" i="35"/>
  <c r="E24" i="35"/>
  <c r="C24" i="35" s="1"/>
  <c r="X23" i="35"/>
  <c r="U23" i="35"/>
  <c r="R23" i="35"/>
  <c r="Q23" i="35"/>
  <c r="P23" i="35"/>
  <c r="L23" i="35"/>
  <c r="I23" i="35"/>
  <c r="F23" i="35"/>
  <c r="E23" i="35"/>
  <c r="C23" i="35" s="1"/>
  <c r="X22" i="35"/>
  <c r="U22" i="35"/>
  <c r="R22" i="35"/>
  <c r="Q22" i="35"/>
  <c r="P22" i="35"/>
  <c r="L22" i="35"/>
  <c r="I22" i="35"/>
  <c r="F22" i="35"/>
  <c r="E22" i="35"/>
  <c r="C22" i="35" s="1"/>
  <c r="X21" i="35"/>
  <c r="U21" i="35"/>
  <c r="R21" i="35"/>
  <c r="Q21" i="35"/>
  <c r="P21" i="35"/>
  <c r="L21" i="35"/>
  <c r="I21" i="35"/>
  <c r="F21" i="35"/>
  <c r="E21" i="35"/>
  <c r="C21" i="35" s="1"/>
  <c r="X20" i="35"/>
  <c r="U20" i="35"/>
  <c r="R20" i="35"/>
  <c r="Q20" i="35"/>
  <c r="P20" i="35"/>
  <c r="L20" i="35"/>
  <c r="I20" i="35"/>
  <c r="F20" i="35"/>
  <c r="E20" i="35"/>
  <c r="C20" i="35" s="1"/>
  <c r="AA19" i="35"/>
  <c r="X19" i="35"/>
  <c r="U19" i="35"/>
  <c r="R19" i="35"/>
  <c r="Q19" i="35"/>
  <c r="P19" i="35"/>
  <c r="O19" i="35" s="1"/>
  <c r="L19" i="35"/>
  <c r="I19" i="35"/>
  <c r="F19" i="35"/>
  <c r="E19" i="35"/>
  <c r="C19" i="35" s="1"/>
  <c r="AA18" i="35"/>
  <c r="X18" i="35"/>
  <c r="U18" i="35"/>
  <c r="R18" i="35"/>
  <c r="Q18" i="35"/>
  <c r="P18" i="35"/>
  <c r="L18" i="35"/>
  <c r="K18" i="35"/>
  <c r="I18" i="35" s="1"/>
  <c r="F18" i="35"/>
  <c r="X17" i="35"/>
  <c r="U17" i="35"/>
  <c r="R17" i="35"/>
  <c r="Q17" i="35"/>
  <c r="P17" i="35"/>
  <c r="O17" i="35" s="1"/>
  <c r="L17" i="35"/>
  <c r="I17" i="35"/>
  <c r="F17" i="35"/>
  <c r="E17" i="35"/>
  <c r="C17" i="35" s="1"/>
  <c r="X16" i="35"/>
  <c r="U16" i="35"/>
  <c r="R16" i="35"/>
  <c r="Q16" i="35"/>
  <c r="P16" i="35"/>
  <c r="L16" i="35"/>
  <c r="I16" i="35"/>
  <c r="F16" i="35"/>
  <c r="E16" i="35"/>
  <c r="C16" i="35" s="1"/>
  <c r="X15" i="35"/>
  <c r="U15" i="35"/>
  <c r="R15" i="35"/>
  <c r="Q15" i="35"/>
  <c r="P15" i="35"/>
  <c r="I15" i="35"/>
  <c r="F15" i="35"/>
  <c r="E15" i="35"/>
  <c r="C15" i="35" s="1"/>
  <c r="AA14" i="35"/>
  <c r="X14" i="35"/>
  <c r="U14" i="35"/>
  <c r="U11" i="35" s="1"/>
  <c r="R14" i="35"/>
  <c r="Q14" i="35"/>
  <c r="P14" i="35"/>
  <c r="L14" i="35"/>
  <c r="I14" i="35"/>
  <c r="F14" i="35"/>
  <c r="E14" i="35"/>
  <c r="C14" i="35" s="1"/>
  <c r="AA13" i="35"/>
  <c r="X13" i="35"/>
  <c r="U13" i="35"/>
  <c r="R13" i="35"/>
  <c r="Q13" i="35"/>
  <c r="Q11" i="35" s="1"/>
  <c r="P13" i="35"/>
  <c r="L13" i="35"/>
  <c r="K13" i="35"/>
  <c r="I13" i="35" s="1"/>
  <c r="H13" i="35"/>
  <c r="F13" i="35" s="1"/>
  <c r="F11" i="35" s="1"/>
  <c r="X12" i="35"/>
  <c r="U12" i="35"/>
  <c r="R12" i="35"/>
  <c r="R11" i="35" s="1"/>
  <c r="Q12" i="35"/>
  <c r="P12" i="35"/>
  <c r="L12" i="35"/>
  <c r="I12" i="35"/>
  <c r="F12" i="35"/>
  <c r="E12" i="35"/>
  <c r="C12" i="35" s="1"/>
  <c r="Z11" i="35"/>
  <c r="Z10" i="35" s="1"/>
  <c r="Y11" i="35"/>
  <c r="Y10" i="35" s="1"/>
  <c r="W11" i="35"/>
  <c r="V11" i="35"/>
  <c r="V10" i="35" s="1"/>
  <c r="T11" i="35"/>
  <c r="T10" i="35" s="1"/>
  <c r="S11" i="35"/>
  <c r="N11" i="35"/>
  <c r="N10" i="35" s="1"/>
  <c r="M11" i="35"/>
  <c r="M10" i="35" s="1"/>
  <c r="J11" i="35"/>
  <c r="G11" i="35"/>
  <c r="G10" i="35" s="1"/>
  <c r="D11" i="35"/>
  <c r="W10" i="35"/>
  <c r="S10" i="35"/>
  <c r="Z9" i="35"/>
  <c r="X9" i="35"/>
  <c r="V9" i="35"/>
  <c r="T9" i="35"/>
  <c r="R9" i="35"/>
  <c r="P9" i="35"/>
  <c r="N9" i="35"/>
  <c r="L9" i="35"/>
  <c r="J9" i="35"/>
  <c r="H9" i="35"/>
  <c r="F9" i="35"/>
  <c r="D9" i="35"/>
  <c r="T144" i="34"/>
  <c r="N144" i="34"/>
  <c r="I144" i="34" s="1"/>
  <c r="R144" i="34" s="1"/>
  <c r="E144" i="34"/>
  <c r="C144" i="34" s="1"/>
  <c r="T143" i="34"/>
  <c r="N143" i="34"/>
  <c r="I143" i="34" s="1"/>
  <c r="E143" i="34"/>
  <c r="C143" i="34" s="1"/>
  <c r="T142" i="34"/>
  <c r="N142" i="34"/>
  <c r="I142" i="34" s="1"/>
  <c r="E142" i="34"/>
  <c r="C142" i="34" s="1"/>
  <c r="Q141" i="34"/>
  <c r="P141" i="34"/>
  <c r="O141" i="34"/>
  <c r="M141" i="34"/>
  <c r="L141" i="34"/>
  <c r="K141" i="34"/>
  <c r="J141" i="34"/>
  <c r="H141" i="34"/>
  <c r="G141" i="34"/>
  <c r="F141" i="34"/>
  <c r="E141" i="34"/>
  <c r="D141" i="34"/>
  <c r="T140" i="34"/>
  <c r="N140" i="34"/>
  <c r="I140" i="34"/>
  <c r="R140" i="34" s="1"/>
  <c r="E140" i="34"/>
  <c r="C140" i="34" s="1"/>
  <c r="T139" i="34"/>
  <c r="N139" i="34"/>
  <c r="I139" i="34" s="1"/>
  <c r="E139" i="34"/>
  <c r="C139" i="34" s="1"/>
  <c r="T138" i="34"/>
  <c r="N138" i="34"/>
  <c r="I138" i="34"/>
  <c r="R138" i="34" s="1"/>
  <c r="E138" i="34"/>
  <c r="C138" i="34" s="1"/>
  <c r="T137" i="34"/>
  <c r="N137" i="34"/>
  <c r="U137" i="34" s="1"/>
  <c r="I137" i="34"/>
  <c r="R137" i="34" s="1"/>
  <c r="E137" i="34"/>
  <c r="C137" i="34" s="1"/>
  <c r="T136" i="34"/>
  <c r="N136" i="34"/>
  <c r="I136" i="34" s="1"/>
  <c r="E136" i="34"/>
  <c r="C136" i="34" s="1"/>
  <c r="T135" i="34"/>
  <c r="N135" i="34"/>
  <c r="I135" i="34"/>
  <c r="R135" i="34" s="1"/>
  <c r="E135" i="34"/>
  <c r="C135" i="34" s="1"/>
  <c r="T134" i="34"/>
  <c r="N134" i="34"/>
  <c r="I134" i="34" s="1"/>
  <c r="E134" i="34"/>
  <c r="C134" i="34" s="1"/>
  <c r="T133" i="34"/>
  <c r="N133" i="34"/>
  <c r="I133" i="34"/>
  <c r="R133" i="34" s="1"/>
  <c r="E133" i="34"/>
  <c r="C133" i="34" s="1"/>
  <c r="T132" i="34"/>
  <c r="N132" i="34"/>
  <c r="I132" i="34" s="1"/>
  <c r="E132" i="34"/>
  <c r="C132" i="34" s="1"/>
  <c r="T131" i="34"/>
  <c r="N131" i="34"/>
  <c r="I131" i="34"/>
  <c r="R131" i="34" s="1"/>
  <c r="E131" i="34"/>
  <c r="C131" i="34" s="1"/>
  <c r="T130" i="34"/>
  <c r="N130" i="34"/>
  <c r="I130" i="34" s="1"/>
  <c r="E130" i="34"/>
  <c r="C130" i="34" s="1"/>
  <c r="T129" i="34"/>
  <c r="N129" i="34"/>
  <c r="I129" i="34" s="1"/>
  <c r="E129" i="34"/>
  <c r="C129" i="34" s="1"/>
  <c r="T128" i="34"/>
  <c r="N128" i="34"/>
  <c r="I128" i="34" s="1"/>
  <c r="E128" i="34"/>
  <c r="C128" i="34" s="1"/>
  <c r="T127" i="34"/>
  <c r="N127" i="34"/>
  <c r="I127" i="34" s="1"/>
  <c r="R127" i="34" s="1"/>
  <c r="E127" i="34"/>
  <c r="C127" i="34" s="1"/>
  <c r="T126" i="34"/>
  <c r="N126" i="34"/>
  <c r="I126" i="34" s="1"/>
  <c r="E126" i="34"/>
  <c r="C126" i="34" s="1"/>
  <c r="Q125" i="34"/>
  <c r="P125" i="34"/>
  <c r="O125" i="34"/>
  <c r="N125" i="34"/>
  <c r="U125" i="34" s="1"/>
  <c r="M125" i="34"/>
  <c r="L125" i="34"/>
  <c r="K125" i="34"/>
  <c r="J125" i="34"/>
  <c r="J93" i="34" s="1"/>
  <c r="H125" i="34"/>
  <c r="G125" i="34"/>
  <c r="F125" i="34"/>
  <c r="E125" i="34"/>
  <c r="D125" i="34"/>
  <c r="T124" i="34"/>
  <c r="I124" i="34"/>
  <c r="E124" i="34"/>
  <c r="C124" i="34" s="1"/>
  <c r="T123" i="34"/>
  <c r="I123" i="34"/>
  <c r="E123" i="34"/>
  <c r="C123" i="34" s="1"/>
  <c r="R123" i="34" s="1"/>
  <c r="T122" i="34"/>
  <c r="N122" i="34"/>
  <c r="I122" i="34"/>
  <c r="R122" i="34" s="1"/>
  <c r="H122" i="34"/>
  <c r="U122" i="34" s="1"/>
  <c r="E122" i="34"/>
  <c r="C122" i="34" s="1"/>
  <c r="Q121" i="34"/>
  <c r="P121" i="34"/>
  <c r="O121" i="34"/>
  <c r="N121" i="34"/>
  <c r="M121" i="34"/>
  <c r="L121" i="34"/>
  <c r="K121" i="34"/>
  <c r="J121" i="34"/>
  <c r="H121" i="34"/>
  <c r="G121" i="34"/>
  <c r="F121" i="34"/>
  <c r="D121" i="34"/>
  <c r="T120" i="34"/>
  <c r="N120" i="34"/>
  <c r="I120" i="34" s="1"/>
  <c r="E120" i="34"/>
  <c r="C120" i="34" s="1"/>
  <c r="T119" i="34"/>
  <c r="N119" i="34"/>
  <c r="I119" i="34"/>
  <c r="R119" i="34" s="1"/>
  <c r="C119" i="34"/>
  <c r="N118" i="34"/>
  <c r="I118" i="34" s="1"/>
  <c r="G118" i="34"/>
  <c r="T118" i="34" s="1"/>
  <c r="N117" i="34"/>
  <c r="I117" i="34" s="1"/>
  <c r="G117" i="34"/>
  <c r="T117" i="34" s="1"/>
  <c r="Q116" i="34"/>
  <c r="T116" i="34" s="1"/>
  <c r="N116" i="34"/>
  <c r="I116" i="34"/>
  <c r="E116" i="34"/>
  <c r="C116" i="34" s="1"/>
  <c r="Q115" i="34"/>
  <c r="T115" i="34" s="1"/>
  <c r="N115" i="34"/>
  <c r="I115" i="34" s="1"/>
  <c r="E115" i="34"/>
  <c r="C115" i="34" s="1"/>
  <c r="U114" i="34"/>
  <c r="K114" i="34"/>
  <c r="T114" i="34" s="1"/>
  <c r="E114" i="34"/>
  <c r="C114" i="34" s="1"/>
  <c r="T113" i="34"/>
  <c r="R113" i="34" s="1"/>
  <c r="I113" i="34"/>
  <c r="E113" i="34"/>
  <c r="C113" i="34" s="1"/>
  <c r="Q112" i="34"/>
  <c r="K112" i="34"/>
  <c r="H112" i="34"/>
  <c r="U112" i="34" s="1"/>
  <c r="G112" i="34"/>
  <c r="E112" i="34"/>
  <c r="C112" i="34" s="1"/>
  <c r="Q111" i="34"/>
  <c r="N111" i="34"/>
  <c r="K111" i="34"/>
  <c r="G111" i="34"/>
  <c r="E111" i="34" s="1"/>
  <c r="C111" i="34" s="1"/>
  <c r="T110" i="34"/>
  <c r="I110" i="34"/>
  <c r="E110" i="34"/>
  <c r="C110" i="34" s="1"/>
  <c r="U109" i="34"/>
  <c r="Q109" i="34"/>
  <c r="N109" i="34"/>
  <c r="I109" i="34" s="1"/>
  <c r="G109" i="34"/>
  <c r="E109" i="34"/>
  <c r="C109" i="34" s="1"/>
  <c r="T108" i="34"/>
  <c r="I108" i="34"/>
  <c r="E108" i="34"/>
  <c r="C108" i="34" s="1"/>
  <c r="Q107" i="34"/>
  <c r="T107" i="34" s="1"/>
  <c r="P107" i="34"/>
  <c r="N107" i="34"/>
  <c r="I107" i="34" s="1"/>
  <c r="H107" i="34"/>
  <c r="E107" i="34" s="1"/>
  <c r="C107" i="34" s="1"/>
  <c r="G107" i="34"/>
  <c r="U106" i="34"/>
  <c r="N106" i="34"/>
  <c r="I106" i="34"/>
  <c r="G106" i="34"/>
  <c r="T106" i="34" s="1"/>
  <c r="N105" i="34"/>
  <c r="I105" i="34" s="1"/>
  <c r="K105" i="34"/>
  <c r="H105" i="34"/>
  <c r="Q105" i="34" s="1"/>
  <c r="G105" i="34"/>
  <c r="E105" i="34" s="1"/>
  <c r="C105" i="34" s="1"/>
  <c r="T104" i="34"/>
  <c r="N104" i="34"/>
  <c r="I104" i="34" s="1"/>
  <c r="E104" i="34"/>
  <c r="C104" i="34" s="1"/>
  <c r="Q103" i="34"/>
  <c r="T103" i="34" s="1"/>
  <c r="N103" i="34"/>
  <c r="I103" i="34" s="1"/>
  <c r="G103" i="34"/>
  <c r="E103" i="34"/>
  <c r="C103" i="34" s="1"/>
  <c r="T102" i="34"/>
  <c r="I102" i="34"/>
  <c r="E102" i="34"/>
  <c r="C102" i="34" s="1"/>
  <c r="T101" i="34"/>
  <c r="I101" i="34"/>
  <c r="E101" i="34"/>
  <c r="C101" i="34" s="1"/>
  <c r="Q100" i="34"/>
  <c r="T100" i="34" s="1"/>
  <c r="N100" i="34"/>
  <c r="I100" i="34"/>
  <c r="R100" i="34" s="1"/>
  <c r="E100" i="34"/>
  <c r="C100" i="34" s="1"/>
  <c r="T98" i="34"/>
  <c r="I98" i="34"/>
  <c r="E98" i="34"/>
  <c r="C98" i="34" s="1"/>
  <c r="T97" i="34"/>
  <c r="I97" i="34"/>
  <c r="E97" i="34"/>
  <c r="C97" i="34" s="1"/>
  <c r="R97" i="34" s="1"/>
  <c r="Q96" i="34"/>
  <c r="P96" i="34"/>
  <c r="U96" i="34" s="1"/>
  <c r="G96" i="34"/>
  <c r="E96" i="34" s="1"/>
  <c r="C96" i="34" s="1"/>
  <c r="Q95" i="34"/>
  <c r="I95" i="34"/>
  <c r="H95" i="34"/>
  <c r="U95" i="34" s="1"/>
  <c r="G95" i="34"/>
  <c r="P94" i="34"/>
  <c r="P93" i="34" s="1"/>
  <c r="O94" i="34"/>
  <c r="M94" i="34"/>
  <c r="M93" i="34" s="1"/>
  <c r="L94" i="34"/>
  <c r="J94" i="34"/>
  <c r="H94" i="34"/>
  <c r="H93" i="34" s="1"/>
  <c r="F94" i="34"/>
  <c r="F93" i="34" s="1"/>
  <c r="D94" i="34"/>
  <c r="S93" i="34"/>
  <c r="O93" i="34"/>
  <c r="L93" i="34"/>
  <c r="T92" i="34"/>
  <c r="I92" i="34"/>
  <c r="R92" i="34" s="1"/>
  <c r="E92" i="34"/>
  <c r="C92" i="34" s="1"/>
  <c r="T91" i="34"/>
  <c r="I91" i="34"/>
  <c r="E91" i="34"/>
  <c r="C91" i="34" s="1"/>
  <c r="T90" i="34"/>
  <c r="I90" i="34"/>
  <c r="E90" i="34"/>
  <c r="C90" i="34" s="1"/>
  <c r="R90" i="34" s="1"/>
  <c r="T89" i="34"/>
  <c r="N89" i="34"/>
  <c r="N88" i="34" s="1"/>
  <c r="I89" i="34"/>
  <c r="R89" i="34" s="1"/>
  <c r="E89" i="34"/>
  <c r="C89" i="34" s="1"/>
  <c r="Q88" i="34"/>
  <c r="P88" i="34"/>
  <c r="O88" i="34"/>
  <c r="M88" i="34"/>
  <c r="L88" i="34"/>
  <c r="K88" i="34"/>
  <c r="T88" i="34" s="1"/>
  <c r="J88" i="34"/>
  <c r="H88" i="34"/>
  <c r="G88" i="34"/>
  <c r="E88" i="34" s="1"/>
  <c r="C88" i="34" s="1"/>
  <c r="F88" i="34"/>
  <c r="D88" i="34"/>
  <c r="T87" i="34"/>
  <c r="Q87" i="34"/>
  <c r="I87" i="34"/>
  <c r="I86" i="34" s="1"/>
  <c r="E87" i="34"/>
  <c r="C87" i="34"/>
  <c r="R87" i="34" s="1"/>
  <c r="U86" i="34"/>
  <c r="S86" i="34"/>
  <c r="Q86" i="34"/>
  <c r="P86" i="34"/>
  <c r="O86" i="34"/>
  <c r="N86" i="34"/>
  <c r="M86" i="34"/>
  <c r="L86" i="34"/>
  <c r="K86" i="34"/>
  <c r="J86" i="34"/>
  <c r="H86" i="34"/>
  <c r="G86" i="34"/>
  <c r="F86" i="34"/>
  <c r="E86" i="34" s="1"/>
  <c r="C86" i="34" s="1"/>
  <c r="D86" i="34"/>
  <c r="T85" i="34"/>
  <c r="I85" i="34"/>
  <c r="E85" i="34"/>
  <c r="C85" i="34" s="1"/>
  <c r="T84" i="34"/>
  <c r="I84" i="34"/>
  <c r="E84" i="34"/>
  <c r="C84" i="34" s="1"/>
  <c r="T83" i="34"/>
  <c r="I83" i="34"/>
  <c r="R83" i="34" s="1"/>
  <c r="E83" i="34"/>
  <c r="C83" i="34"/>
  <c r="T82" i="34"/>
  <c r="I82" i="34"/>
  <c r="E82" i="34"/>
  <c r="C82" i="34" s="1"/>
  <c r="R82" i="34" s="1"/>
  <c r="T81" i="34"/>
  <c r="I81" i="34"/>
  <c r="E81" i="34"/>
  <c r="C81" i="34" s="1"/>
  <c r="K80" i="34"/>
  <c r="T80" i="34" s="1"/>
  <c r="G80" i="34"/>
  <c r="E80" i="34" s="1"/>
  <c r="C80" i="34" s="1"/>
  <c r="Q79" i="34"/>
  <c r="P79" i="34"/>
  <c r="O79" i="34"/>
  <c r="O78" i="34" s="1"/>
  <c r="O77" i="34" s="1"/>
  <c r="N79" i="34"/>
  <c r="M79" i="34"/>
  <c r="M78" i="34" s="1"/>
  <c r="M77" i="34" s="1"/>
  <c r="L79" i="34"/>
  <c r="J79" i="34"/>
  <c r="H79" i="34"/>
  <c r="G79" i="34"/>
  <c r="E79" i="34" s="1"/>
  <c r="F79" i="34"/>
  <c r="D79" i="34"/>
  <c r="T78" i="34"/>
  <c r="P78" i="34"/>
  <c r="N78" i="34"/>
  <c r="N77" i="34" s="1"/>
  <c r="L78" i="34"/>
  <c r="J78" i="34"/>
  <c r="H78" i="34"/>
  <c r="F78" i="34"/>
  <c r="E78" i="34"/>
  <c r="C78" i="34" s="1"/>
  <c r="Q77" i="34"/>
  <c r="P77" i="34"/>
  <c r="L77" i="34"/>
  <c r="K77" i="34"/>
  <c r="J77" i="34"/>
  <c r="H77" i="34"/>
  <c r="G77" i="34"/>
  <c r="F77" i="34"/>
  <c r="E77" i="34" s="1"/>
  <c r="C77" i="34" s="1"/>
  <c r="D77" i="34"/>
  <c r="T76" i="34"/>
  <c r="I76" i="34"/>
  <c r="E76" i="34"/>
  <c r="C76" i="34"/>
  <c r="R76" i="34" s="1"/>
  <c r="T75" i="34"/>
  <c r="N75" i="34"/>
  <c r="I75" i="34" s="1"/>
  <c r="R75" i="34" s="1"/>
  <c r="E75" i="34"/>
  <c r="C75" i="34" s="1"/>
  <c r="T74" i="34"/>
  <c r="N74" i="34"/>
  <c r="I74" i="34" s="1"/>
  <c r="E74" i="34"/>
  <c r="C74" i="34" s="1"/>
  <c r="T73" i="34"/>
  <c r="N73" i="34"/>
  <c r="I73" i="34" s="1"/>
  <c r="E73" i="34"/>
  <c r="C73" i="34" s="1"/>
  <c r="N72" i="34"/>
  <c r="I72" i="34" s="1"/>
  <c r="G72" i="34"/>
  <c r="E72" i="34" s="1"/>
  <c r="C72" i="34" s="1"/>
  <c r="N71" i="34"/>
  <c r="I71" i="34"/>
  <c r="G71" i="34"/>
  <c r="T71" i="34" s="1"/>
  <c r="T70" i="34"/>
  <c r="N70" i="34"/>
  <c r="I70" i="34" s="1"/>
  <c r="E70" i="34"/>
  <c r="C70" i="34" s="1"/>
  <c r="T69" i="34"/>
  <c r="N69" i="34"/>
  <c r="I69" i="34" s="1"/>
  <c r="R69" i="34" s="1"/>
  <c r="E69" i="34"/>
  <c r="C69" i="34" s="1"/>
  <c r="N68" i="34"/>
  <c r="I68" i="34" s="1"/>
  <c r="G68" i="34"/>
  <c r="T68" i="34" s="1"/>
  <c r="A68" i="34"/>
  <c r="N67" i="34"/>
  <c r="K67" i="34"/>
  <c r="T67" i="34" s="1"/>
  <c r="I67" i="34"/>
  <c r="R67" i="34" s="1"/>
  <c r="G67" i="34"/>
  <c r="E67" i="34"/>
  <c r="C67" i="34" s="1"/>
  <c r="Q66" i="34"/>
  <c r="P66" i="34"/>
  <c r="O66" i="34"/>
  <c r="M66" i="34"/>
  <c r="L66" i="34"/>
  <c r="K66" i="34"/>
  <c r="J66" i="34"/>
  <c r="H66" i="34"/>
  <c r="F66" i="34"/>
  <c r="D66" i="34"/>
  <c r="T65" i="34"/>
  <c r="I65" i="34"/>
  <c r="E65" i="34"/>
  <c r="C65" i="34" s="1"/>
  <c r="R65" i="34" s="1"/>
  <c r="T64" i="34"/>
  <c r="N64" i="34"/>
  <c r="I64" i="34" s="1"/>
  <c r="E64" i="34"/>
  <c r="C64" i="34" s="1"/>
  <c r="Q63" i="34"/>
  <c r="Q60" i="34" s="1"/>
  <c r="P63" i="34"/>
  <c r="O63" i="34"/>
  <c r="M63" i="34"/>
  <c r="L63" i="34"/>
  <c r="K63" i="34"/>
  <c r="J63" i="34"/>
  <c r="H63" i="34"/>
  <c r="G63" i="34"/>
  <c r="G60" i="34" s="1"/>
  <c r="F63" i="34"/>
  <c r="D63" i="34"/>
  <c r="T62" i="34"/>
  <c r="I62" i="34"/>
  <c r="E62" i="34"/>
  <c r="C62" i="34" s="1"/>
  <c r="R62" i="34" s="1"/>
  <c r="Q61" i="34"/>
  <c r="P61" i="34"/>
  <c r="P60" i="34" s="1"/>
  <c r="O61" i="34"/>
  <c r="N61" i="34"/>
  <c r="M61" i="34"/>
  <c r="L61" i="34"/>
  <c r="L60" i="34" s="1"/>
  <c r="K61" i="34"/>
  <c r="J61" i="34"/>
  <c r="I61" i="34"/>
  <c r="H61" i="34"/>
  <c r="H60" i="34" s="1"/>
  <c r="G61" i="34"/>
  <c r="F61" i="34"/>
  <c r="F60" i="34" s="1"/>
  <c r="D61" i="34"/>
  <c r="O60" i="34"/>
  <c r="M60" i="34"/>
  <c r="K60" i="34"/>
  <c r="J60" i="34"/>
  <c r="T59" i="34"/>
  <c r="R59" i="34"/>
  <c r="N59" i="34"/>
  <c r="I59" i="34" s="1"/>
  <c r="E59" i="34"/>
  <c r="C59" i="34" s="1"/>
  <c r="T58" i="34"/>
  <c r="N58" i="34"/>
  <c r="I58" i="34" s="1"/>
  <c r="E58" i="34"/>
  <c r="C58" i="34" s="1"/>
  <c r="T57" i="34"/>
  <c r="N57" i="34"/>
  <c r="I57" i="34" s="1"/>
  <c r="E57" i="34"/>
  <c r="C57" i="34" s="1"/>
  <c r="T56" i="34"/>
  <c r="N56" i="34"/>
  <c r="I56" i="34" s="1"/>
  <c r="E56" i="34"/>
  <c r="C56" i="34" s="1"/>
  <c r="T55" i="34"/>
  <c r="N55" i="34"/>
  <c r="I55" i="34" s="1"/>
  <c r="R55" i="34" s="1"/>
  <c r="E55" i="34"/>
  <c r="C55" i="34" s="1"/>
  <c r="T54" i="34"/>
  <c r="N54" i="34"/>
  <c r="I54" i="34" s="1"/>
  <c r="E54" i="34"/>
  <c r="C54" i="34" s="1"/>
  <c r="T53" i="34"/>
  <c r="N53" i="34"/>
  <c r="I53" i="34" s="1"/>
  <c r="E53" i="34"/>
  <c r="C53" i="34" s="1"/>
  <c r="T52" i="34"/>
  <c r="N52" i="34"/>
  <c r="I52" i="34" s="1"/>
  <c r="E52" i="34"/>
  <c r="C52" i="34" s="1"/>
  <c r="T51" i="34"/>
  <c r="N51" i="34"/>
  <c r="I51" i="34" s="1"/>
  <c r="R51" i="34" s="1"/>
  <c r="E51" i="34"/>
  <c r="C51" i="34" s="1"/>
  <c r="T50" i="34"/>
  <c r="N50" i="34"/>
  <c r="I50" i="34" s="1"/>
  <c r="E50" i="34"/>
  <c r="C50" i="34" s="1"/>
  <c r="T49" i="34"/>
  <c r="N49" i="34"/>
  <c r="I49" i="34" s="1"/>
  <c r="E49" i="34"/>
  <c r="C49" i="34" s="1"/>
  <c r="T48" i="34"/>
  <c r="N48" i="34"/>
  <c r="I48" i="34" s="1"/>
  <c r="E48" i="34"/>
  <c r="C48" i="34" s="1"/>
  <c r="T47" i="34"/>
  <c r="N47" i="34"/>
  <c r="I47" i="34" s="1"/>
  <c r="R47" i="34" s="1"/>
  <c r="E47" i="34"/>
  <c r="C47" i="34" s="1"/>
  <c r="T46" i="34"/>
  <c r="I46" i="34"/>
  <c r="E46" i="34"/>
  <c r="C46" i="34" s="1"/>
  <c r="T45" i="34"/>
  <c r="I45" i="34"/>
  <c r="E45" i="34"/>
  <c r="C45" i="34" s="1"/>
  <c r="R45" i="34" s="1"/>
  <c r="T44" i="34"/>
  <c r="N44" i="34"/>
  <c r="E44" i="34"/>
  <c r="C44" i="34"/>
  <c r="R44" i="34" s="1"/>
  <c r="T43" i="34"/>
  <c r="N43" i="34"/>
  <c r="E43" i="34"/>
  <c r="C43" i="34" s="1"/>
  <c r="R43" i="34" s="1"/>
  <c r="T42" i="34"/>
  <c r="N42" i="34"/>
  <c r="I42" i="34" s="1"/>
  <c r="E42" i="34"/>
  <c r="C42" i="34" s="1"/>
  <c r="T41" i="34"/>
  <c r="N41" i="34"/>
  <c r="I41" i="34" s="1"/>
  <c r="R41" i="34" s="1"/>
  <c r="E41" i="34"/>
  <c r="C41" i="34" s="1"/>
  <c r="T40" i="34"/>
  <c r="N40" i="34"/>
  <c r="I40" i="34" s="1"/>
  <c r="E40" i="34"/>
  <c r="C40" i="34" s="1"/>
  <c r="T39" i="34"/>
  <c r="N39" i="34"/>
  <c r="I39" i="34" s="1"/>
  <c r="E39" i="34"/>
  <c r="C39" i="34" s="1"/>
  <c r="T38" i="34"/>
  <c r="N38" i="34"/>
  <c r="I38" i="34" s="1"/>
  <c r="G38" i="34"/>
  <c r="E38" i="34" s="1"/>
  <c r="C38" i="34" s="1"/>
  <c r="N37" i="34"/>
  <c r="I37" i="34" s="1"/>
  <c r="G37" i="34"/>
  <c r="T37" i="34" s="1"/>
  <c r="T36" i="34"/>
  <c r="N36" i="34"/>
  <c r="I36" i="34" s="1"/>
  <c r="E36" i="34"/>
  <c r="C36" i="34" s="1"/>
  <c r="N35" i="34"/>
  <c r="I35" i="34"/>
  <c r="G35" i="34"/>
  <c r="T35" i="34" s="1"/>
  <c r="T34" i="34"/>
  <c r="N34" i="34"/>
  <c r="I34" i="34" s="1"/>
  <c r="E34" i="34"/>
  <c r="C34" i="34" s="1"/>
  <c r="I33" i="34"/>
  <c r="G33" i="34"/>
  <c r="T33" i="34" s="1"/>
  <c r="Q32" i="34"/>
  <c r="P32" i="34"/>
  <c r="O32" i="34"/>
  <c r="M32" i="34"/>
  <c r="L32" i="34"/>
  <c r="K32" i="34"/>
  <c r="J32" i="34"/>
  <c r="H32" i="34"/>
  <c r="F32" i="34"/>
  <c r="D32" i="34"/>
  <c r="T31" i="34"/>
  <c r="N31" i="34"/>
  <c r="I31" i="34"/>
  <c r="E31" i="34"/>
  <c r="E30" i="34" s="1"/>
  <c r="O30" i="34"/>
  <c r="N30" i="34" s="1"/>
  <c r="M30" i="34"/>
  <c r="L30" i="34"/>
  <c r="K30" i="34"/>
  <c r="J30" i="34"/>
  <c r="H30" i="34"/>
  <c r="G30" i="34"/>
  <c r="F30" i="34"/>
  <c r="D30" i="34"/>
  <c r="I29" i="34"/>
  <c r="E29" i="34"/>
  <c r="C29" i="34" s="1"/>
  <c r="I28" i="34"/>
  <c r="E28" i="34"/>
  <c r="C28" i="34" s="1"/>
  <c r="N27" i="34"/>
  <c r="K27" i="34"/>
  <c r="G27" i="34"/>
  <c r="G25" i="34" s="1"/>
  <c r="F27" i="34"/>
  <c r="E27" i="34"/>
  <c r="D27" i="34"/>
  <c r="T26" i="34"/>
  <c r="N26" i="34"/>
  <c r="I26" i="34" s="1"/>
  <c r="E26" i="34"/>
  <c r="C26" i="34" s="1"/>
  <c r="Q25" i="34"/>
  <c r="P25" i="34"/>
  <c r="O25" i="34"/>
  <c r="M25" i="34"/>
  <c r="L25" i="34"/>
  <c r="J25" i="34"/>
  <c r="H25" i="34"/>
  <c r="F25" i="34"/>
  <c r="E25" i="34"/>
  <c r="D25" i="34"/>
  <c r="U24" i="34"/>
  <c r="T24" i="34"/>
  <c r="N24" i="34"/>
  <c r="I24" i="34" s="1"/>
  <c r="E24" i="34"/>
  <c r="C24" i="34" s="1"/>
  <c r="T23" i="34"/>
  <c r="I23" i="34"/>
  <c r="R23" i="34" s="1"/>
  <c r="E23" i="34"/>
  <c r="C23" i="34" s="1"/>
  <c r="Q22" i="34"/>
  <c r="T22" i="34" s="1"/>
  <c r="N22" i="34"/>
  <c r="I22" i="34"/>
  <c r="E22" i="34"/>
  <c r="C22" i="34" s="1"/>
  <c r="Q21" i="34"/>
  <c r="T21" i="34" s="1"/>
  <c r="N21" i="34"/>
  <c r="I21" i="34" s="1"/>
  <c r="E21" i="34"/>
  <c r="C21" i="34" s="1"/>
  <c r="Q20" i="34"/>
  <c r="N20" i="34"/>
  <c r="I20" i="34" s="1"/>
  <c r="G20" i="34"/>
  <c r="H20" i="34" s="1"/>
  <c r="Q19" i="34"/>
  <c r="T19" i="34" s="1"/>
  <c r="N19" i="34"/>
  <c r="I19" i="34" s="1"/>
  <c r="E19" i="34"/>
  <c r="C19" i="34"/>
  <c r="N18" i="34"/>
  <c r="K18" i="34"/>
  <c r="K17" i="34" s="1"/>
  <c r="G18" i="34"/>
  <c r="E18" i="34"/>
  <c r="C18" i="34" s="1"/>
  <c r="Q17" i="34"/>
  <c r="Q14" i="34" s="1"/>
  <c r="P17" i="34"/>
  <c r="O17" i="34"/>
  <c r="M17" i="34"/>
  <c r="L17" i="34"/>
  <c r="J17" i="34"/>
  <c r="J14" i="34" s="1"/>
  <c r="J13" i="34" s="1"/>
  <c r="F17" i="34"/>
  <c r="D17" i="34"/>
  <c r="T16" i="34"/>
  <c r="N16" i="34"/>
  <c r="I16" i="34" s="1"/>
  <c r="E16" i="34"/>
  <c r="C16" i="34"/>
  <c r="C15" i="34" s="1"/>
  <c r="Q15" i="34"/>
  <c r="P15" i="34"/>
  <c r="P14" i="34" s="1"/>
  <c r="O15" i="34"/>
  <c r="M15" i="34"/>
  <c r="L15" i="34"/>
  <c r="K15" i="34"/>
  <c r="J15" i="34"/>
  <c r="H15" i="34"/>
  <c r="G15" i="34"/>
  <c r="F15" i="34"/>
  <c r="F14" i="34" s="1"/>
  <c r="E15" i="34"/>
  <c r="D15" i="34"/>
  <c r="M14" i="34"/>
  <c r="I12" i="34"/>
  <c r="J12" i="34" s="1"/>
  <c r="K12" i="34" s="1"/>
  <c r="L12" i="34" s="1"/>
  <c r="M12" i="34" s="1"/>
  <c r="N12" i="34" s="1"/>
  <c r="O12" i="34" s="1"/>
  <c r="P12" i="34" s="1"/>
  <c r="Q12" i="34" s="1"/>
  <c r="A1" i="34"/>
  <c r="F13" i="34" l="1"/>
  <c r="I77" i="34"/>
  <c r="R114" i="34"/>
  <c r="R105" i="34"/>
  <c r="U10" i="35"/>
  <c r="M13" i="34"/>
  <c r="I30" i="34"/>
  <c r="R30" i="34" s="1"/>
  <c r="C121" i="34"/>
  <c r="R121" i="34" s="1"/>
  <c r="L14" i="34"/>
  <c r="L13" i="34" s="1"/>
  <c r="R21" i="34"/>
  <c r="I27" i="34"/>
  <c r="T30" i="34"/>
  <c r="C30" i="34"/>
  <c r="N32" i="34"/>
  <c r="E37" i="34"/>
  <c r="C37" i="34" s="1"/>
  <c r="R37" i="34" s="1"/>
  <c r="R40" i="34"/>
  <c r="R46" i="34"/>
  <c r="R50" i="34"/>
  <c r="R54" i="34"/>
  <c r="R58" i="34"/>
  <c r="E61" i="34"/>
  <c r="G66" i="34"/>
  <c r="T66" i="34" s="1"/>
  <c r="R72" i="34"/>
  <c r="I78" i="34"/>
  <c r="R78" i="34" s="1"/>
  <c r="R91" i="34"/>
  <c r="R98" i="34"/>
  <c r="R101" i="34"/>
  <c r="Q94" i="34"/>
  <c r="Q93" i="34" s="1"/>
  <c r="Q13" i="34" s="1"/>
  <c r="U107" i="34"/>
  <c r="R110" i="34"/>
  <c r="T111" i="34"/>
  <c r="E121" i="34"/>
  <c r="I121" i="34"/>
  <c r="R124" i="34"/>
  <c r="T125" i="34"/>
  <c r="R130" i="34"/>
  <c r="R132" i="34"/>
  <c r="R134" i="34"/>
  <c r="R136" i="34"/>
  <c r="R139" i="34"/>
  <c r="T141" i="34"/>
  <c r="H11" i="35"/>
  <c r="H10" i="35" s="1"/>
  <c r="L11" i="35"/>
  <c r="L10" i="35" s="1"/>
  <c r="P29" i="35"/>
  <c r="F29" i="35"/>
  <c r="D14" i="34"/>
  <c r="D13" i="34" s="1"/>
  <c r="R19" i="34"/>
  <c r="T20" i="34"/>
  <c r="E63" i="34"/>
  <c r="C63" i="34" s="1"/>
  <c r="N66" i="34"/>
  <c r="C79" i="34"/>
  <c r="K79" i="34"/>
  <c r="T79" i="34" s="1"/>
  <c r="R86" i="34"/>
  <c r="I88" i="34"/>
  <c r="D93" i="34"/>
  <c r="K94" i="34"/>
  <c r="K93" i="34" s="1"/>
  <c r="T96" i="34"/>
  <c r="R109" i="34"/>
  <c r="U121" i="34"/>
  <c r="J10" i="35"/>
  <c r="P13" i="34"/>
  <c r="F10" i="35"/>
  <c r="O14" i="34"/>
  <c r="O13" i="34" s="1"/>
  <c r="N17" i="34"/>
  <c r="R22" i="34"/>
  <c r="C25" i="34"/>
  <c r="N25" i="34"/>
  <c r="C27" i="34"/>
  <c r="G32" i="34"/>
  <c r="T32" i="34" s="1"/>
  <c r="D60" i="34"/>
  <c r="T60" i="34" s="1"/>
  <c r="T61" i="34"/>
  <c r="T63" i="34"/>
  <c r="T77" i="34"/>
  <c r="I80" i="34"/>
  <c r="I79" i="34" s="1"/>
  <c r="R81" i="34"/>
  <c r="R85" i="34"/>
  <c r="T86" i="34"/>
  <c r="G94" i="34"/>
  <c r="G93" i="34" s="1"/>
  <c r="E93" i="34" s="1"/>
  <c r="T95" i="34"/>
  <c r="T109" i="34"/>
  <c r="T112" i="34"/>
  <c r="I114" i="34"/>
  <c r="T121" i="34"/>
  <c r="E13" i="35"/>
  <c r="C13" i="35" s="1"/>
  <c r="O15" i="35"/>
  <c r="O26" i="35"/>
  <c r="O40" i="35"/>
  <c r="AA40" i="35" s="1"/>
  <c r="O22" i="35"/>
  <c r="C37" i="35"/>
  <c r="O37" i="35"/>
  <c r="AC35" i="35"/>
  <c r="C38" i="35"/>
  <c r="O12" i="35"/>
  <c r="O18" i="35"/>
  <c r="O31" i="35"/>
  <c r="C33" i="35"/>
  <c r="O34" i="35"/>
  <c r="AA34" i="35" s="1"/>
  <c r="O36" i="35"/>
  <c r="C35" i="35"/>
  <c r="C29" i="35" s="1"/>
  <c r="O14" i="35"/>
  <c r="O20" i="35"/>
  <c r="O25" i="35"/>
  <c r="AC29" i="35"/>
  <c r="C36" i="35"/>
  <c r="AC37" i="35"/>
  <c r="O39" i="35"/>
  <c r="AA39" i="35" s="1"/>
  <c r="O13" i="35"/>
  <c r="O23" i="35"/>
  <c r="R29" i="35"/>
  <c r="R10" i="35" s="1"/>
  <c r="AC34" i="35"/>
  <c r="AC36" i="35"/>
  <c r="AC38" i="35"/>
  <c r="AC39" i="35"/>
  <c r="C40" i="35"/>
  <c r="I11" i="35"/>
  <c r="I10" i="35" s="1"/>
  <c r="O21" i="35"/>
  <c r="AC31" i="35"/>
  <c r="O32" i="35"/>
  <c r="AA32" i="35" s="1"/>
  <c r="O16" i="35"/>
  <c r="X11" i="35"/>
  <c r="X10" i="35" s="1"/>
  <c r="AC40" i="35"/>
  <c r="AA30" i="35"/>
  <c r="AA38" i="35"/>
  <c r="AA33" i="35"/>
  <c r="AA31" i="35"/>
  <c r="Q10" i="35"/>
  <c r="K11" i="35"/>
  <c r="K10" i="35" s="1"/>
  <c r="E18" i="35"/>
  <c r="O35" i="35"/>
  <c r="P11" i="35"/>
  <c r="P10" i="35" s="1"/>
  <c r="I15" i="34"/>
  <c r="R16" i="34"/>
  <c r="E20" i="34"/>
  <c r="H17" i="34"/>
  <c r="H14" i="34" s="1"/>
  <c r="H13" i="34" s="1"/>
  <c r="R34" i="34"/>
  <c r="I32" i="34"/>
  <c r="U17" i="34"/>
  <c r="R24" i="34"/>
  <c r="I25" i="34"/>
  <c r="R25" i="34" s="1"/>
  <c r="U25" i="34" s="1"/>
  <c r="T15" i="34"/>
  <c r="I18" i="34"/>
  <c r="T18" i="34"/>
  <c r="C31" i="34"/>
  <c r="R31" i="34" s="1"/>
  <c r="E33" i="34"/>
  <c r="E35" i="34"/>
  <c r="C35" i="34" s="1"/>
  <c r="C125" i="34"/>
  <c r="I141" i="34"/>
  <c r="R142" i="34"/>
  <c r="R77" i="34"/>
  <c r="R126" i="34"/>
  <c r="I125" i="34"/>
  <c r="T27" i="34"/>
  <c r="R36" i="34"/>
  <c r="R39" i="34"/>
  <c r="R49" i="34"/>
  <c r="R53" i="34"/>
  <c r="R57" i="34"/>
  <c r="R64" i="34"/>
  <c r="I63" i="34"/>
  <c r="I66" i="34"/>
  <c r="R74" i="34"/>
  <c r="R88" i="34"/>
  <c r="T94" i="34"/>
  <c r="R116" i="34"/>
  <c r="R129" i="34"/>
  <c r="N15" i="34"/>
  <c r="N14" i="34" s="1"/>
  <c r="G17" i="34"/>
  <c r="T17" i="34" s="1"/>
  <c r="K25" i="34"/>
  <c r="T25" i="34" s="1"/>
  <c r="R38" i="34"/>
  <c r="R42" i="34"/>
  <c r="R48" i="34"/>
  <c r="R52" i="34"/>
  <c r="R56" i="34"/>
  <c r="R70" i="34"/>
  <c r="R73" i="34"/>
  <c r="R80" i="34"/>
  <c r="R84" i="34"/>
  <c r="T93" i="34"/>
  <c r="R104" i="34"/>
  <c r="T105" i="34"/>
  <c r="R107" i="34"/>
  <c r="R115" i="34"/>
  <c r="R128" i="34"/>
  <c r="C141" i="34"/>
  <c r="R143" i="34"/>
  <c r="E71" i="34"/>
  <c r="C71" i="34" s="1"/>
  <c r="R71" i="34" s="1"/>
  <c r="T72" i="34"/>
  <c r="E95" i="34"/>
  <c r="N96" i="34"/>
  <c r="E106" i="34"/>
  <c r="C106" i="34" s="1"/>
  <c r="I112" i="34"/>
  <c r="R112" i="34" s="1"/>
  <c r="E118" i="34"/>
  <c r="C118" i="34" s="1"/>
  <c r="R118" i="34" s="1"/>
  <c r="N141" i="34"/>
  <c r="N63" i="34"/>
  <c r="N60" i="34" s="1"/>
  <c r="E68" i="34"/>
  <c r="E117" i="34"/>
  <c r="C117" i="34" s="1"/>
  <c r="R117" i="34" s="1"/>
  <c r="I111" i="34"/>
  <c r="R111" i="34" s="1"/>
  <c r="R125" i="34" l="1"/>
  <c r="AA35" i="35"/>
  <c r="U14" i="34"/>
  <c r="E60" i="34"/>
  <c r="AA36" i="35"/>
  <c r="AA37" i="35"/>
  <c r="R79" i="34"/>
  <c r="C61" i="34"/>
  <c r="R61" i="34" s="1"/>
  <c r="O11" i="35"/>
  <c r="C18" i="35"/>
  <c r="C11" i="35" s="1"/>
  <c r="C10" i="35" s="1"/>
  <c r="E11" i="35"/>
  <c r="O29" i="35"/>
  <c r="AA29" i="35" s="1"/>
  <c r="C68" i="34"/>
  <c r="R68" i="34" s="1"/>
  <c r="E66" i="34"/>
  <c r="C66" i="34" s="1"/>
  <c r="R66" i="34" s="1"/>
  <c r="R63" i="34"/>
  <c r="I60" i="34"/>
  <c r="C33" i="34"/>
  <c r="E32" i="34"/>
  <c r="E17" i="34"/>
  <c r="C20" i="34"/>
  <c r="R20" i="34" s="1"/>
  <c r="R141" i="34"/>
  <c r="G14" i="34"/>
  <c r="G13" i="34" s="1"/>
  <c r="I96" i="34"/>
  <c r="N94" i="34"/>
  <c r="R15" i="34"/>
  <c r="C95" i="34"/>
  <c r="E94" i="34"/>
  <c r="R18" i="34"/>
  <c r="I17" i="34"/>
  <c r="K14" i="34"/>
  <c r="C60" i="34" l="1"/>
  <c r="R60" i="34" s="1"/>
  <c r="AA11" i="35"/>
  <c r="E10" i="35"/>
  <c r="AC10" i="35" s="1"/>
  <c r="AC11" i="35"/>
  <c r="O10" i="35"/>
  <c r="AA10" i="35" s="1"/>
  <c r="U94" i="34"/>
  <c r="N93" i="34"/>
  <c r="R96" i="34"/>
  <c r="I94" i="34"/>
  <c r="E14" i="34"/>
  <c r="E13" i="34" s="1"/>
  <c r="C17" i="34"/>
  <c r="R17" i="34" s="1"/>
  <c r="R95" i="34"/>
  <c r="C94" i="34"/>
  <c r="C93" i="34" s="1"/>
  <c r="T14" i="34"/>
  <c r="K13" i="34"/>
  <c r="T13" i="34" s="1"/>
  <c r="I14" i="34"/>
  <c r="C32" i="34"/>
  <c r="R32" i="34" s="1"/>
  <c r="R33" i="34"/>
  <c r="R94" i="34" l="1"/>
  <c r="I93" i="34"/>
  <c r="R93" i="34" s="1"/>
  <c r="C14" i="34"/>
  <c r="C13" i="34" s="1"/>
  <c r="U93" i="34"/>
  <c r="N13" i="34"/>
  <c r="U13" i="34" s="1"/>
  <c r="R14" i="34" l="1"/>
  <c r="I13" i="34"/>
  <c r="R13" i="34" s="1"/>
  <c r="C38" i="13" l="1"/>
  <c r="C37" i="13" l="1"/>
  <c r="D37" i="13"/>
  <c r="F37" i="13"/>
  <c r="G37" i="13"/>
  <c r="H37" i="13"/>
  <c r="F18" i="13"/>
  <c r="E18" i="13" s="1"/>
  <c r="F17" i="13"/>
  <c r="E17" i="13" s="1"/>
  <c r="E19" i="15"/>
  <c r="E18" i="15"/>
  <c r="F30" i="15"/>
  <c r="G30" i="15"/>
  <c r="E37" i="13" l="1"/>
  <c r="F32" i="15"/>
  <c r="D59" i="18" l="1"/>
  <c r="G45" i="14" l="1"/>
  <c r="G44" i="14"/>
  <c r="G56" i="14"/>
  <c r="W11" i="23" l="1"/>
  <c r="I83" i="12" l="1"/>
  <c r="I84" i="12"/>
  <c r="C13" i="21" l="1"/>
  <c r="P13" i="23" l="1"/>
  <c r="P12" i="23"/>
  <c r="P18" i="23"/>
  <c r="P22" i="23"/>
  <c r="M22" i="23"/>
  <c r="P19" i="23"/>
  <c r="M17" i="23"/>
  <c r="Q14" i="23"/>
  <c r="P14" i="23"/>
  <c r="N14" i="23"/>
  <c r="M14" i="23"/>
  <c r="F11" i="23"/>
  <c r="G11" i="23"/>
  <c r="H11" i="23"/>
  <c r="C13" i="23" l="1"/>
  <c r="C14" i="23"/>
  <c r="C15" i="23"/>
  <c r="C16" i="23"/>
  <c r="C17" i="23"/>
  <c r="C18" i="23"/>
  <c r="C19" i="23"/>
  <c r="C20" i="23"/>
  <c r="C21" i="23"/>
  <c r="C22" i="23"/>
  <c r="C12" i="23"/>
  <c r="M21" i="23"/>
  <c r="M20" i="23"/>
  <c r="M19" i="23"/>
  <c r="M16" i="23"/>
  <c r="F10" i="23"/>
  <c r="H10" i="23"/>
  <c r="J10" i="23"/>
  <c r="Q22" i="23" l="1"/>
  <c r="N22" i="23"/>
  <c r="Q16" i="23"/>
  <c r="P16" i="23"/>
  <c r="N16" i="23"/>
  <c r="P20" i="23"/>
  <c r="Q12" i="23"/>
  <c r="N12" i="23"/>
  <c r="M12" i="23"/>
  <c r="P15" i="23"/>
  <c r="M15" i="23"/>
  <c r="Q19" i="23"/>
  <c r="N19" i="23"/>
  <c r="Q21" i="23"/>
  <c r="P21" i="23"/>
  <c r="N21" i="23"/>
  <c r="P17" i="23"/>
  <c r="Q18" i="23"/>
  <c r="M18" i="23"/>
  <c r="Q13" i="23"/>
  <c r="M13" i="23"/>
  <c r="S21" i="23"/>
  <c r="S19" i="23"/>
  <c r="L19" i="23" s="1"/>
  <c r="S17" i="23"/>
  <c r="S15" i="23"/>
  <c r="S13" i="23"/>
  <c r="L15" i="23" l="1"/>
  <c r="L17" i="23"/>
  <c r="L13" i="23"/>
  <c r="L21" i="23"/>
  <c r="S14" i="23"/>
  <c r="L14" i="23" s="1"/>
  <c r="S18" i="23"/>
  <c r="L18" i="23" s="1"/>
  <c r="S22" i="23"/>
  <c r="L22" i="23" s="1"/>
  <c r="S12" i="23"/>
  <c r="L12" i="23" s="1"/>
  <c r="S16" i="23"/>
  <c r="L16" i="23" s="1"/>
  <c r="S20" i="23"/>
  <c r="L20" i="23" s="1"/>
  <c r="H39" i="15" l="1"/>
  <c r="H38" i="13" l="1"/>
  <c r="F38" i="13"/>
  <c r="G39" i="15"/>
  <c r="G38" i="13" s="1"/>
  <c r="Q21" i="24"/>
  <c r="Q20" i="24"/>
  <c r="Q19" i="24"/>
  <c r="Q18" i="24"/>
  <c r="D68" i="24"/>
  <c r="C68" i="24"/>
  <c r="K70" i="24"/>
  <c r="K71" i="24"/>
  <c r="K72" i="24"/>
  <c r="K73" i="24"/>
  <c r="K74" i="24"/>
  <c r="K75" i="24"/>
  <c r="K76" i="24"/>
  <c r="K77" i="24"/>
  <c r="K78" i="24"/>
  <c r="K79" i="24"/>
  <c r="K69" i="24"/>
  <c r="K67" i="24" s="1"/>
  <c r="H41" i="15"/>
  <c r="H14" i="15" s="1"/>
  <c r="G41" i="15"/>
  <c r="G14" i="15" s="1"/>
  <c r="F41" i="15"/>
  <c r="F14" i="15" s="1"/>
  <c r="F13" i="13" s="1"/>
  <c r="K18" i="24"/>
  <c r="C19" i="24"/>
  <c r="G40" i="15" l="1"/>
  <c r="E41" i="15"/>
  <c r="E40" i="15" s="1"/>
  <c r="F40" i="15"/>
  <c r="F39" i="13" s="1"/>
  <c r="H40" i="15"/>
  <c r="I12" i="23"/>
  <c r="C18" i="24"/>
  <c r="H84" i="12" l="1"/>
  <c r="H83" i="12"/>
  <c r="H33" i="13"/>
  <c r="F14" i="13"/>
  <c r="F16" i="15"/>
  <c r="E15" i="15"/>
  <c r="E14" i="13" s="1"/>
  <c r="G23" i="15"/>
  <c r="G24" i="15"/>
  <c r="F26" i="15"/>
  <c r="H27" i="13" l="1"/>
  <c r="G27" i="13"/>
  <c r="F27" i="13"/>
  <c r="D29" i="15"/>
  <c r="D28" i="15"/>
  <c r="C24" i="20" s="1"/>
  <c r="E28" i="15"/>
  <c r="H26" i="15"/>
  <c r="G61" i="14"/>
  <c r="G37" i="14"/>
  <c r="E27" i="13" l="1"/>
  <c r="J28" i="15"/>
  <c r="D24" i="20"/>
  <c r="D27" i="13"/>
  <c r="J27" i="13" s="1"/>
  <c r="E21" i="15"/>
  <c r="D52" i="14"/>
  <c r="C52" i="14"/>
  <c r="D45" i="14"/>
  <c r="C45" i="14"/>
  <c r="E29" i="14"/>
  <c r="E24" i="20" l="1"/>
  <c r="F24" i="20"/>
  <c r="V11" i="23" l="1"/>
  <c r="C15" i="13" l="1"/>
  <c r="G25" i="21"/>
  <c r="F64" i="12"/>
  <c r="F65" i="12"/>
  <c r="F66" i="12"/>
  <c r="F67" i="12"/>
  <c r="F68" i="12"/>
  <c r="F69" i="12"/>
  <c r="E69" i="12" s="1"/>
  <c r="E68" i="14"/>
  <c r="J11" i="23" l="1"/>
  <c r="D11" i="23"/>
  <c r="E11" i="23"/>
  <c r="K11" i="23"/>
  <c r="L11" i="23"/>
  <c r="N11" i="23"/>
  <c r="O11" i="23"/>
  <c r="Q11" i="23"/>
  <c r="R11" i="23"/>
  <c r="E14" i="14" l="1"/>
  <c r="G75" i="12" l="1"/>
  <c r="H75" i="12"/>
  <c r="H74" i="12" s="1"/>
  <c r="I75" i="12"/>
  <c r="I74" i="12" s="1"/>
  <c r="F75" i="12"/>
  <c r="F74" i="12" s="1"/>
  <c r="G78" i="12"/>
  <c r="C79" i="18"/>
  <c r="F70" i="18"/>
  <c r="E84" i="18"/>
  <c r="G74" i="12" l="1"/>
  <c r="D20" i="1" s="1"/>
  <c r="D21" i="17" s="1"/>
  <c r="E21" i="17" s="1"/>
  <c r="E41" i="13"/>
  <c r="E42" i="13"/>
  <c r="C20" i="1" l="1"/>
  <c r="G47" i="14" l="1"/>
  <c r="D62" i="14" l="1"/>
  <c r="C20" i="21" l="1"/>
  <c r="C21" i="21"/>
  <c r="C22" i="21"/>
  <c r="C23" i="21"/>
  <c r="C24" i="21"/>
  <c r="C25" i="21"/>
  <c r="C26" i="21"/>
  <c r="C29" i="20" l="1"/>
  <c r="F84" i="18"/>
  <c r="C33" i="17"/>
  <c r="C22" i="19" s="1"/>
  <c r="C34" i="20" l="1"/>
  <c r="D42" i="13"/>
  <c r="D41" i="13"/>
  <c r="C42" i="13"/>
  <c r="C41" i="13"/>
  <c r="H25" i="21"/>
  <c r="F25" i="21" s="1"/>
  <c r="F15" i="13"/>
  <c r="D15" i="13"/>
  <c r="C15" i="20" s="1"/>
  <c r="E84" i="12"/>
  <c r="D38" i="17" l="1"/>
  <c r="E38" i="17" s="1"/>
  <c r="J13" i="1"/>
  <c r="G14" i="21"/>
  <c r="E29" i="15"/>
  <c r="E16" i="15"/>
  <c r="E42" i="14"/>
  <c r="E15" i="14"/>
  <c r="A4" i="14"/>
  <c r="A4" i="15" s="1"/>
  <c r="A4" i="12" s="1"/>
  <c r="A4" i="13" s="1"/>
  <c r="A6" i="17" s="1"/>
  <c r="A5" i="18" s="1"/>
  <c r="A5" i="19" s="1"/>
  <c r="A6" i="20" s="1"/>
  <c r="A4" i="24" s="1"/>
  <c r="A1" i="14"/>
  <c r="A1" i="15" s="1"/>
  <c r="A1" i="12" s="1"/>
  <c r="A1" i="13" s="1"/>
  <c r="A1" i="17" s="1"/>
  <c r="A1" i="18" s="1"/>
  <c r="A1" i="19" s="1"/>
  <c r="A1" i="20" s="1"/>
  <c r="A1" i="24" s="1"/>
  <c r="A1" i="35" s="1"/>
  <c r="A1" i="37" s="1"/>
  <c r="A1" i="38" s="1"/>
  <c r="D36" i="17" l="1"/>
  <c r="E36" i="17" s="1"/>
  <c r="D24" i="19" s="1"/>
  <c r="A4" i="23"/>
  <c r="A4" i="35" s="1"/>
  <c r="A5" i="37" s="1"/>
  <c r="A5" i="38" s="1"/>
  <c r="A1" i="23"/>
  <c r="D25" i="20"/>
  <c r="A1" i="21" l="1"/>
  <c r="A5" i="21"/>
  <c r="A4" i="36" s="1"/>
  <c r="A4" i="34" s="1"/>
  <c r="E12" i="21"/>
  <c r="E11" i="21" s="1"/>
  <c r="D14" i="21"/>
  <c r="C14" i="21"/>
  <c r="F14" i="21"/>
  <c r="C19" i="21"/>
  <c r="F16" i="21"/>
  <c r="C15" i="21"/>
  <c r="C16" i="21"/>
  <c r="C17" i="21"/>
  <c r="C18" i="21"/>
  <c r="I13" i="23"/>
  <c r="I14" i="23"/>
  <c r="I15" i="23"/>
  <c r="I19" i="23"/>
  <c r="I20" i="23"/>
  <c r="I16" i="23"/>
  <c r="I17" i="23"/>
  <c r="I18" i="23"/>
  <c r="I21" i="23"/>
  <c r="I22" i="23"/>
  <c r="T20" i="24"/>
  <c r="T21" i="24"/>
  <c r="T25" i="24"/>
  <c r="T26" i="24"/>
  <c r="T22" i="24"/>
  <c r="T23" i="24"/>
  <c r="T24" i="24"/>
  <c r="T27" i="24"/>
  <c r="T28" i="24"/>
  <c r="F17" i="24"/>
  <c r="G17" i="24"/>
  <c r="H17" i="24"/>
  <c r="Y18" i="24"/>
  <c r="Y20" i="24"/>
  <c r="L17" i="24"/>
  <c r="N17" i="24"/>
  <c r="O17" i="24"/>
  <c r="P17" i="24"/>
  <c r="C18" i="20"/>
  <c r="C19" i="20"/>
  <c r="C20" i="20"/>
  <c r="C21" i="20"/>
  <c r="C22" i="20"/>
  <c r="C23" i="20"/>
  <c r="C25" i="20"/>
  <c r="C26" i="20"/>
  <c r="C27" i="20"/>
  <c r="C28" i="20"/>
  <c r="F18" i="17"/>
  <c r="E18" i="17"/>
  <c r="E37" i="17"/>
  <c r="E39" i="17"/>
  <c r="E40" i="17"/>
  <c r="E41" i="17"/>
  <c r="J51" i="18"/>
  <c r="X22" i="23" l="1"/>
  <c r="Z22" i="23"/>
  <c r="Z18" i="23"/>
  <c r="Z16" i="23"/>
  <c r="Z19" i="23"/>
  <c r="Y21" i="23"/>
  <c r="Y17" i="23"/>
  <c r="Y20" i="23"/>
  <c r="Y15" i="23"/>
  <c r="Y13" i="23"/>
  <c r="Z21" i="23"/>
  <c r="Z17" i="23"/>
  <c r="Z20" i="23"/>
  <c r="Z15" i="23"/>
  <c r="Z13" i="23"/>
  <c r="X21" i="23"/>
  <c r="Y22" i="23"/>
  <c r="Y18" i="23"/>
  <c r="Y16" i="23"/>
  <c r="Y19" i="23"/>
  <c r="Y14" i="23"/>
  <c r="Z14" i="23"/>
  <c r="X14" i="23"/>
  <c r="X13" i="23"/>
  <c r="U11" i="23"/>
  <c r="T11" i="23"/>
  <c r="I11" i="23"/>
  <c r="X19" i="23"/>
  <c r="X18" i="23"/>
  <c r="X20" i="23"/>
  <c r="X15" i="23"/>
  <c r="X17" i="23"/>
  <c r="X12" i="23"/>
  <c r="D17" i="24"/>
  <c r="T17" i="24" s="1"/>
  <c r="E17" i="24"/>
  <c r="Y22" i="24"/>
  <c r="D12" i="21"/>
  <c r="D11" i="21" s="1"/>
  <c r="C12" i="21"/>
  <c r="C11" i="21" s="1"/>
  <c r="Y24" i="24"/>
  <c r="Y27" i="24"/>
  <c r="Y23" i="24"/>
  <c r="Y21" i="24"/>
  <c r="M17" i="24"/>
  <c r="D78" i="18"/>
  <c r="D75" i="18"/>
  <c r="D71" i="18"/>
  <c r="D63" i="18"/>
  <c r="D49" i="18"/>
  <c r="E70" i="18"/>
  <c r="E73" i="18"/>
  <c r="E74" i="18"/>
  <c r="E76" i="18"/>
  <c r="E77" i="18"/>
  <c r="E78" i="18"/>
  <c r="E79" i="18"/>
  <c r="E80" i="18"/>
  <c r="E83" i="18"/>
  <c r="F83" i="18" s="1"/>
  <c r="E85" i="18"/>
  <c r="E86" i="18"/>
  <c r="F86" i="18" s="1"/>
  <c r="E88" i="18"/>
  <c r="F88" i="18" s="1"/>
  <c r="C70" i="18"/>
  <c r="C71" i="18"/>
  <c r="C72" i="18"/>
  <c r="C73" i="18"/>
  <c r="C76" i="18"/>
  <c r="C77" i="18"/>
  <c r="C80" i="18"/>
  <c r="C83" i="18"/>
  <c r="D83" i="18" s="1"/>
  <c r="C85" i="18"/>
  <c r="C86" i="18"/>
  <c r="C87" i="18"/>
  <c r="C88" i="18"/>
  <c r="A77" i="18"/>
  <c r="C15" i="17"/>
  <c r="C12" i="17"/>
  <c r="C42" i="17" s="1"/>
  <c r="I18" i="1"/>
  <c r="P11" i="23" l="1"/>
  <c r="Z12" i="23"/>
  <c r="K20" i="24"/>
  <c r="K24" i="24"/>
  <c r="K27" i="24"/>
  <c r="M11" i="23"/>
  <c r="Y12" i="23"/>
  <c r="X16" i="23"/>
  <c r="C11" i="23"/>
  <c r="X11" i="23" s="1"/>
  <c r="S11" i="23"/>
  <c r="Q17" i="24"/>
  <c r="S18" i="24"/>
  <c r="K22" i="24"/>
  <c r="C22" i="24"/>
  <c r="I17" i="24"/>
  <c r="Y28" i="24"/>
  <c r="C28" i="24"/>
  <c r="Y19" i="24"/>
  <c r="Y25" i="24"/>
  <c r="C11" i="17"/>
  <c r="F82" i="18"/>
  <c r="F81" i="18" s="1"/>
  <c r="D74" i="18"/>
  <c r="Z11" i="23" l="1"/>
  <c r="Y11" i="23"/>
  <c r="Q5" i="23"/>
  <c r="C20" i="24"/>
  <c r="S20" i="24" s="1"/>
  <c r="C27" i="24"/>
  <c r="S27" i="24" s="1"/>
  <c r="C25" i="24"/>
  <c r="K19" i="24"/>
  <c r="R17" i="24"/>
  <c r="C21" i="24"/>
  <c r="K23" i="24"/>
  <c r="K25" i="24"/>
  <c r="K26" i="24"/>
  <c r="J17" i="24"/>
  <c r="C23" i="24"/>
  <c r="C24" i="24"/>
  <c r="S24" i="24" s="1"/>
  <c r="K28" i="24"/>
  <c r="S28" i="24" s="1"/>
  <c r="Y17" i="24"/>
  <c r="S22" i="24"/>
  <c r="Y26" i="24"/>
  <c r="C26" i="24"/>
  <c r="O16" i="24"/>
  <c r="P16" i="24" s="1"/>
  <c r="Q16" i="24" s="1"/>
  <c r="R16" i="24" s="1"/>
  <c r="G16" i="24"/>
  <c r="H16" i="24" s="1"/>
  <c r="I16" i="24" s="1"/>
  <c r="J16" i="24" s="1"/>
  <c r="K16" i="24" s="1"/>
  <c r="L16" i="24" s="1"/>
  <c r="D16" i="24"/>
  <c r="D10" i="23"/>
  <c r="M10" i="23" s="1"/>
  <c r="N10" i="23" s="1"/>
  <c r="O10" i="23" s="1"/>
  <c r="P10" i="23" s="1"/>
  <c r="Q10" i="23" s="1"/>
  <c r="R10" i="23" s="1"/>
  <c r="S10" i="23" s="1"/>
  <c r="T10" i="23" s="1"/>
  <c r="U10" i="23" s="1"/>
  <c r="W10" i="23" s="1"/>
  <c r="A18" i="21"/>
  <c r="H10" i="21"/>
  <c r="E10" i="21"/>
  <c r="D11" i="20"/>
  <c r="A15" i="19"/>
  <c r="D8" i="19"/>
  <c r="D10" i="18"/>
  <c r="A17" i="17"/>
  <c r="D10" i="17"/>
  <c r="E88" i="12"/>
  <c r="E87" i="18"/>
  <c r="F87" i="18" s="1"/>
  <c r="E72" i="14"/>
  <c r="S25" i="24" l="1"/>
  <c r="S19" i="24"/>
  <c r="C17" i="24"/>
  <c r="K21" i="24"/>
  <c r="S23" i="24"/>
  <c r="S26" i="24"/>
  <c r="G88" i="18"/>
  <c r="H73" i="12"/>
  <c r="I73" i="12"/>
  <c r="G73" i="12"/>
  <c r="F70" i="14"/>
  <c r="G70" i="14"/>
  <c r="H70" i="14"/>
  <c r="I70" i="14"/>
  <c r="D70" i="14"/>
  <c r="S21" i="24" l="1"/>
  <c r="K17" i="24"/>
  <c r="S17" i="24" s="1"/>
  <c r="G39" i="13"/>
  <c r="H39" i="13"/>
  <c r="E73" i="12"/>
  <c r="G73" i="18" s="1"/>
  <c r="H73" i="18" s="1"/>
  <c r="C75" i="12" l="1"/>
  <c r="C75" i="18" s="1"/>
  <c r="C78" i="12"/>
  <c r="G59" i="12"/>
  <c r="H59" i="12"/>
  <c r="I59" i="12"/>
  <c r="F59" i="12"/>
  <c r="G58" i="12"/>
  <c r="H58" i="12"/>
  <c r="I58" i="12"/>
  <c r="F58" i="12"/>
  <c r="H54" i="14"/>
  <c r="I54" i="14"/>
  <c r="G54" i="14"/>
  <c r="H50" i="14"/>
  <c r="I50" i="14"/>
  <c r="G50" i="14"/>
  <c r="F49" i="14"/>
  <c r="C74" i="12" l="1"/>
  <c r="C74" i="18" s="1"/>
  <c r="C78" i="18"/>
  <c r="D39" i="13"/>
  <c r="C33" i="13"/>
  <c r="C34" i="13"/>
  <c r="C35" i="13"/>
  <c r="C36" i="13"/>
  <c r="C39" i="13"/>
  <c r="C32" i="13"/>
  <c r="C35" i="20" l="1"/>
  <c r="C34" i="17"/>
  <c r="C23" i="19" s="1"/>
  <c r="C17" i="20"/>
  <c r="C16" i="20" s="1"/>
  <c r="D13" i="15" l="1"/>
  <c r="D20" i="15"/>
  <c r="C40" i="13"/>
  <c r="D21" i="13"/>
  <c r="D22" i="13"/>
  <c r="C14" i="19" s="1"/>
  <c r="D23" i="13"/>
  <c r="C15" i="19" s="1"/>
  <c r="D24" i="13"/>
  <c r="D25" i="13"/>
  <c r="D26" i="13"/>
  <c r="D28" i="13"/>
  <c r="D29" i="13"/>
  <c r="D30" i="13"/>
  <c r="D31" i="13"/>
  <c r="D32" i="13"/>
  <c r="C27" i="17" s="1"/>
  <c r="C16" i="19" s="1"/>
  <c r="D33" i="13"/>
  <c r="C28" i="17" s="1"/>
  <c r="C17" i="19" s="1"/>
  <c r="D34" i="13"/>
  <c r="D35" i="13"/>
  <c r="D36" i="13"/>
  <c r="D20" i="13"/>
  <c r="C19" i="13"/>
  <c r="D13" i="13"/>
  <c r="C13" i="13"/>
  <c r="C12" i="13" s="1"/>
  <c r="G33" i="13"/>
  <c r="H20" i="21" s="1"/>
  <c r="L14" i="1"/>
  <c r="F34" i="13"/>
  <c r="G34" i="13"/>
  <c r="H34" i="13"/>
  <c r="F35" i="13"/>
  <c r="G35" i="13"/>
  <c r="H35" i="13"/>
  <c r="F36" i="13"/>
  <c r="G23" i="21" s="1"/>
  <c r="G36" i="13"/>
  <c r="H36" i="13"/>
  <c r="G32" i="13"/>
  <c r="H32" i="13"/>
  <c r="L13" i="1" s="1"/>
  <c r="F32" i="13"/>
  <c r="F21" i="13"/>
  <c r="G21" i="13"/>
  <c r="H21" i="13"/>
  <c r="F22" i="13"/>
  <c r="G17" i="21" s="1"/>
  <c r="G22" i="13"/>
  <c r="H22" i="13"/>
  <c r="F23" i="13"/>
  <c r="G18" i="21" s="1"/>
  <c r="G23" i="13"/>
  <c r="H23" i="13"/>
  <c r="F24" i="13"/>
  <c r="G24" i="13"/>
  <c r="H24" i="13"/>
  <c r="F25" i="13"/>
  <c r="G25" i="13"/>
  <c r="H25" i="13"/>
  <c r="F26" i="13"/>
  <c r="G26" i="13"/>
  <c r="H26" i="13"/>
  <c r="F28" i="13"/>
  <c r="G28" i="13"/>
  <c r="H28" i="13"/>
  <c r="F29" i="13"/>
  <c r="G29" i="13"/>
  <c r="H29" i="13"/>
  <c r="F30" i="13"/>
  <c r="G30" i="13"/>
  <c r="H30" i="13"/>
  <c r="F31" i="13"/>
  <c r="G31" i="13"/>
  <c r="H31" i="13"/>
  <c r="G20" i="13"/>
  <c r="H20" i="13"/>
  <c r="F20" i="13"/>
  <c r="D72" i="12"/>
  <c r="E72" i="18" s="1"/>
  <c r="F72" i="18" s="1"/>
  <c r="C64" i="12"/>
  <c r="C65" i="18" s="1"/>
  <c r="D64" i="12"/>
  <c r="C65" i="12"/>
  <c r="C66" i="18" s="1"/>
  <c r="D65" i="12"/>
  <c r="C66" i="12"/>
  <c r="C67" i="18" s="1"/>
  <c r="D66" i="12"/>
  <c r="C67" i="12"/>
  <c r="C68" i="18" s="1"/>
  <c r="D67" i="12"/>
  <c r="C68" i="12"/>
  <c r="C69" i="18" s="1"/>
  <c r="D68" i="12"/>
  <c r="D63" i="12"/>
  <c r="C63" i="12"/>
  <c r="C64" i="18" s="1"/>
  <c r="C42" i="12"/>
  <c r="C43" i="18" s="1"/>
  <c r="D43" i="18" s="1"/>
  <c r="D42" i="12"/>
  <c r="E43" i="18" s="1"/>
  <c r="C43" i="12"/>
  <c r="C44" i="18" s="1"/>
  <c r="D44" i="18" s="1"/>
  <c r="D43" i="12"/>
  <c r="E44" i="18" s="1"/>
  <c r="F44" i="18" s="1"/>
  <c r="C44" i="12"/>
  <c r="C45" i="18" s="1"/>
  <c r="D45" i="18" s="1"/>
  <c r="D44" i="12"/>
  <c r="E45" i="18" s="1"/>
  <c r="F45" i="18" s="1"/>
  <c r="C45" i="12"/>
  <c r="C46" i="18" s="1"/>
  <c r="D45" i="12"/>
  <c r="E46" i="18" s="1"/>
  <c r="C46" i="12"/>
  <c r="C47" i="18" s="1"/>
  <c r="D46" i="12"/>
  <c r="E47" i="18" s="1"/>
  <c r="C47" i="12"/>
  <c r="C48" i="18" s="1"/>
  <c r="D48" i="18" s="1"/>
  <c r="D47" i="12"/>
  <c r="E48" i="18" s="1"/>
  <c r="F48" i="18" s="1"/>
  <c r="C48" i="12"/>
  <c r="C49" i="18" s="1"/>
  <c r="D48" i="12"/>
  <c r="E49" i="18" s="1"/>
  <c r="F49" i="18" s="1"/>
  <c r="C49" i="12"/>
  <c r="C50" i="18" s="1"/>
  <c r="D49" i="12"/>
  <c r="E50" i="18" s="1"/>
  <c r="C50" i="12"/>
  <c r="C51" i="18" s="1"/>
  <c r="D50" i="12"/>
  <c r="E51" i="18" s="1"/>
  <c r="C51" i="12"/>
  <c r="C52" i="18" s="1"/>
  <c r="D51" i="12"/>
  <c r="E52" i="18" s="1"/>
  <c r="C52" i="12"/>
  <c r="C53" i="18" s="1"/>
  <c r="D52" i="12"/>
  <c r="E53" i="18" s="1"/>
  <c r="C53" i="12"/>
  <c r="C54" i="18" s="1"/>
  <c r="D53" i="12"/>
  <c r="E54" i="18" s="1"/>
  <c r="C55" i="12"/>
  <c r="C56" i="18" s="1"/>
  <c r="D56" i="18" s="1"/>
  <c r="D55" i="12"/>
  <c r="E56" i="18" s="1"/>
  <c r="F56" i="18" s="1"/>
  <c r="C56" i="12"/>
  <c r="C57" i="18" s="1"/>
  <c r="D56" i="12"/>
  <c r="E57" i="18" s="1"/>
  <c r="C57" i="12"/>
  <c r="D57" i="12"/>
  <c r="E58" i="18" s="1"/>
  <c r="C58" i="12"/>
  <c r="C59" i="18" s="1"/>
  <c r="D58" i="12"/>
  <c r="E59" i="18" s="1"/>
  <c r="F59" i="18" s="1"/>
  <c r="C59" i="12"/>
  <c r="C60" i="18" s="1"/>
  <c r="D60" i="18" s="1"/>
  <c r="D59" i="12"/>
  <c r="E60" i="18" s="1"/>
  <c r="F60" i="18" s="1"/>
  <c r="C60" i="12"/>
  <c r="C61" i="18" s="1"/>
  <c r="D61" i="18" s="1"/>
  <c r="D60" i="12"/>
  <c r="E61" i="18" s="1"/>
  <c r="F61" i="18" s="1"/>
  <c r="C61" i="12"/>
  <c r="C62" i="18" s="1"/>
  <c r="D62" i="18" s="1"/>
  <c r="D61" i="12"/>
  <c r="E62" i="18" s="1"/>
  <c r="F62" i="18" s="1"/>
  <c r="D41" i="12"/>
  <c r="E42" i="18" s="1"/>
  <c r="F42" i="18" s="1"/>
  <c r="C41" i="12"/>
  <c r="C42" i="18" s="1"/>
  <c r="D42" i="18" s="1"/>
  <c r="C36" i="12"/>
  <c r="C37" i="18" s="1"/>
  <c r="D37" i="18" s="1"/>
  <c r="D36" i="12"/>
  <c r="E37" i="18" s="1"/>
  <c r="F37" i="18" s="1"/>
  <c r="C37" i="12"/>
  <c r="C38" i="18" s="1"/>
  <c r="D38" i="18" s="1"/>
  <c r="D37" i="12"/>
  <c r="E38" i="18" s="1"/>
  <c r="F38" i="18" s="1"/>
  <c r="C38" i="12"/>
  <c r="C39" i="18" s="1"/>
  <c r="D39" i="18" s="1"/>
  <c r="D38" i="12"/>
  <c r="E39" i="18" s="1"/>
  <c r="F39" i="18" s="1"/>
  <c r="C39" i="12"/>
  <c r="C40" i="18" s="1"/>
  <c r="D40" i="18" s="1"/>
  <c r="D39" i="12"/>
  <c r="E40" i="18" s="1"/>
  <c r="F40" i="18" s="1"/>
  <c r="C40" i="12"/>
  <c r="C41" i="18" s="1"/>
  <c r="D41" i="18" s="1"/>
  <c r="D40" i="12"/>
  <c r="E41" i="18" s="1"/>
  <c r="F41" i="18" s="1"/>
  <c r="D35" i="12"/>
  <c r="E36" i="18" s="1"/>
  <c r="C35" i="12"/>
  <c r="C36" i="18" s="1"/>
  <c r="D36" i="18" s="1"/>
  <c r="C29" i="12"/>
  <c r="C30" i="18" s="1"/>
  <c r="D30" i="18" s="1"/>
  <c r="D29" i="12"/>
  <c r="E30" i="18" s="1"/>
  <c r="F30" i="18" s="1"/>
  <c r="C30" i="12"/>
  <c r="C31" i="18" s="1"/>
  <c r="D31" i="18" s="1"/>
  <c r="D30" i="12"/>
  <c r="E31" i="18" s="1"/>
  <c r="F31" i="18" s="1"/>
  <c r="C31" i="12"/>
  <c r="C32" i="18" s="1"/>
  <c r="D32" i="18" s="1"/>
  <c r="D31" i="12"/>
  <c r="E32" i="18" s="1"/>
  <c r="F32" i="18" s="1"/>
  <c r="C32" i="12"/>
  <c r="C33" i="18" s="1"/>
  <c r="D33" i="18" s="1"/>
  <c r="D32" i="12"/>
  <c r="E33" i="18" s="1"/>
  <c r="F33" i="18" s="1"/>
  <c r="C33" i="12"/>
  <c r="C34" i="18" s="1"/>
  <c r="D34" i="18" s="1"/>
  <c r="D33" i="12"/>
  <c r="E34" i="18" s="1"/>
  <c r="F34" i="18" s="1"/>
  <c r="D28" i="12"/>
  <c r="E29" i="18" s="1"/>
  <c r="C28" i="12"/>
  <c r="C29" i="18" s="1"/>
  <c r="D29" i="18" s="1"/>
  <c r="C22" i="12"/>
  <c r="C23" i="18" s="1"/>
  <c r="D23" i="18" s="1"/>
  <c r="D22" i="12"/>
  <c r="E23" i="18" s="1"/>
  <c r="F23" i="18" s="1"/>
  <c r="C23" i="12"/>
  <c r="C24" i="18" s="1"/>
  <c r="D24" i="18" s="1"/>
  <c r="D23" i="12"/>
  <c r="E24" i="18" s="1"/>
  <c r="F24" i="18" s="1"/>
  <c r="C24" i="12"/>
  <c r="C25" i="18" s="1"/>
  <c r="D25" i="18" s="1"/>
  <c r="D24" i="12"/>
  <c r="E25" i="18" s="1"/>
  <c r="F25" i="18" s="1"/>
  <c r="C25" i="12"/>
  <c r="C26" i="18" s="1"/>
  <c r="D26" i="18" s="1"/>
  <c r="D25" i="12"/>
  <c r="E26" i="18" s="1"/>
  <c r="F26" i="18" s="1"/>
  <c r="C26" i="12"/>
  <c r="C27" i="18" s="1"/>
  <c r="D27" i="18" s="1"/>
  <c r="D26" i="12"/>
  <c r="E27" i="18" s="1"/>
  <c r="F27" i="18" s="1"/>
  <c r="D21" i="12"/>
  <c r="E22" i="18" s="1"/>
  <c r="C21" i="12"/>
  <c r="C22" i="18" s="1"/>
  <c r="D22" i="18" s="1"/>
  <c r="C15" i="12"/>
  <c r="C16" i="18" s="1"/>
  <c r="D16" i="18" s="1"/>
  <c r="D15" i="12"/>
  <c r="E16" i="18" s="1"/>
  <c r="F16" i="18" s="1"/>
  <c r="C16" i="12"/>
  <c r="C17" i="18" s="1"/>
  <c r="D17" i="18" s="1"/>
  <c r="D16" i="12"/>
  <c r="E17" i="18" s="1"/>
  <c r="F17" i="18" s="1"/>
  <c r="C17" i="12"/>
  <c r="C18" i="18" s="1"/>
  <c r="D18" i="18" s="1"/>
  <c r="D17" i="12"/>
  <c r="E18" i="18" s="1"/>
  <c r="F18" i="18" s="1"/>
  <c r="C18" i="12"/>
  <c r="C19" i="18" s="1"/>
  <c r="D19" i="18" s="1"/>
  <c r="D18" i="12"/>
  <c r="E19" i="18" s="1"/>
  <c r="F19" i="18" s="1"/>
  <c r="C19" i="12"/>
  <c r="C20" i="18" s="1"/>
  <c r="D20" i="18" s="1"/>
  <c r="D19" i="12"/>
  <c r="E20" i="18" s="1"/>
  <c r="F20" i="18" s="1"/>
  <c r="D14" i="12"/>
  <c r="E15" i="18" s="1"/>
  <c r="F15" i="18" s="1"/>
  <c r="C14" i="12"/>
  <c r="C15" i="18" s="1"/>
  <c r="D15" i="18" s="1"/>
  <c r="E85" i="12"/>
  <c r="G85" i="18" s="1"/>
  <c r="H85" i="18" s="1"/>
  <c r="E87" i="12"/>
  <c r="F22" i="12"/>
  <c r="G22" i="12"/>
  <c r="H22" i="12"/>
  <c r="I22" i="12"/>
  <c r="F23" i="12"/>
  <c r="G23" i="12"/>
  <c r="H23" i="12"/>
  <c r="I23" i="12"/>
  <c r="F24" i="12"/>
  <c r="G24" i="12"/>
  <c r="H24" i="12"/>
  <c r="I24" i="12"/>
  <c r="F25" i="12"/>
  <c r="G25" i="12"/>
  <c r="H25" i="12"/>
  <c r="I25" i="12"/>
  <c r="F26" i="12"/>
  <c r="G26" i="12"/>
  <c r="H26" i="12"/>
  <c r="I26" i="12"/>
  <c r="G21" i="12"/>
  <c r="H21" i="12"/>
  <c r="I21" i="12"/>
  <c r="F21" i="12"/>
  <c r="E26" i="14"/>
  <c r="E25" i="14"/>
  <c r="E24" i="14"/>
  <c r="C20" i="14"/>
  <c r="E23" i="14"/>
  <c r="E22" i="14"/>
  <c r="E21" i="14"/>
  <c r="I20" i="14"/>
  <c r="H20" i="14"/>
  <c r="G20" i="14"/>
  <c r="F20" i="14"/>
  <c r="D20" i="14"/>
  <c r="I36" i="12"/>
  <c r="I37" i="12"/>
  <c r="I40" i="12"/>
  <c r="I38" i="12"/>
  <c r="I35" i="12"/>
  <c r="G72" i="12"/>
  <c r="G71" i="12" s="1"/>
  <c r="H72" i="12"/>
  <c r="H71" i="12" s="1"/>
  <c r="I72" i="12"/>
  <c r="I71" i="12" s="1"/>
  <c r="F72" i="12"/>
  <c r="F71" i="12" s="1"/>
  <c r="E64" i="12"/>
  <c r="E65" i="12"/>
  <c r="G66" i="18" s="1"/>
  <c r="E66" i="12"/>
  <c r="G67" i="18" s="1"/>
  <c r="E67" i="12"/>
  <c r="G68" i="18" s="1"/>
  <c r="E68" i="12"/>
  <c r="G69" i="18" s="1"/>
  <c r="F63" i="12"/>
  <c r="F61" i="12"/>
  <c r="G61" i="12"/>
  <c r="H61" i="12"/>
  <c r="I61" i="12"/>
  <c r="G60" i="12"/>
  <c r="H60" i="12"/>
  <c r="I60" i="12"/>
  <c r="F60" i="12"/>
  <c r="E60" i="14"/>
  <c r="F57" i="12"/>
  <c r="G57" i="12"/>
  <c r="H57" i="12"/>
  <c r="I57" i="12"/>
  <c r="G56" i="12"/>
  <c r="H56" i="12"/>
  <c r="I56" i="12"/>
  <c r="F56" i="12"/>
  <c r="F42" i="12"/>
  <c r="G42" i="12"/>
  <c r="H42" i="12"/>
  <c r="I42" i="12"/>
  <c r="F43" i="12"/>
  <c r="G43" i="12"/>
  <c r="H43" i="12"/>
  <c r="I43" i="12"/>
  <c r="F44" i="12"/>
  <c r="G44" i="12"/>
  <c r="H44" i="12"/>
  <c r="I44" i="12"/>
  <c r="F45" i="12"/>
  <c r="G45" i="12"/>
  <c r="H46" i="18" s="1"/>
  <c r="H45" i="12"/>
  <c r="I45" i="12"/>
  <c r="F46" i="12"/>
  <c r="G46" i="12"/>
  <c r="H46" i="12"/>
  <c r="I46" i="12"/>
  <c r="F47" i="12"/>
  <c r="G47" i="12"/>
  <c r="H47" i="12"/>
  <c r="I47" i="12"/>
  <c r="F48" i="12"/>
  <c r="G48" i="12"/>
  <c r="H48" i="12"/>
  <c r="I48" i="12"/>
  <c r="F49" i="12"/>
  <c r="G49" i="12"/>
  <c r="H49" i="12"/>
  <c r="I49" i="12"/>
  <c r="F50" i="12"/>
  <c r="G50" i="12"/>
  <c r="H50" i="12"/>
  <c r="I50" i="12"/>
  <c r="F51" i="12"/>
  <c r="G51" i="12"/>
  <c r="H51" i="12"/>
  <c r="I51" i="12"/>
  <c r="F52" i="12"/>
  <c r="G52" i="12"/>
  <c r="H52" i="12"/>
  <c r="I52" i="12"/>
  <c r="F53" i="12"/>
  <c r="G53" i="12"/>
  <c r="H53" i="12"/>
  <c r="I53" i="12"/>
  <c r="F54" i="12"/>
  <c r="G54" i="12"/>
  <c r="H54" i="12"/>
  <c r="I54" i="12"/>
  <c r="F55" i="12"/>
  <c r="G55" i="12"/>
  <c r="H55" i="12"/>
  <c r="I55" i="12"/>
  <c r="G62" i="12"/>
  <c r="H62" i="12"/>
  <c r="I62" i="12"/>
  <c r="E70" i="12"/>
  <c r="G70" i="18" s="1"/>
  <c r="G41" i="12"/>
  <c r="H41" i="12"/>
  <c r="I41" i="12"/>
  <c r="F41" i="12"/>
  <c r="F36" i="12"/>
  <c r="G36" i="12"/>
  <c r="H36" i="12"/>
  <c r="F37" i="12"/>
  <c r="G37" i="12"/>
  <c r="H37" i="12"/>
  <c r="F38" i="12"/>
  <c r="G38" i="12"/>
  <c r="H38" i="12"/>
  <c r="F39" i="12"/>
  <c r="G39" i="12"/>
  <c r="H39" i="12"/>
  <c r="F40" i="12"/>
  <c r="G40" i="12"/>
  <c r="H40" i="12"/>
  <c r="G35" i="12"/>
  <c r="H35" i="12"/>
  <c r="F35" i="12"/>
  <c r="F29" i="12"/>
  <c r="G29" i="12"/>
  <c r="H29" i="12"/>
  <c r="F30" i="12"/>
  <c r="G30" i="12"/>
  <c r="H30" i="12"/>
  <c r="F31" i="12"/>
  <c r="G31" i="12"/>
  <c r="H31" i="12"/>
  <c r="F32" i="12"/>
  <c r="G32" i="12"/>
  <c r="H32" i="12"/>
  <c r="F33" i="12"/>
  <c r="G33" i="12"/>
  <c r="H33" i="12"/>
  <c r="G28" i="12"/>
  <c r="H28" i="12"/>
  <c r="F28" i="12"/>
  <c r="F15" i="12"/>
  <c r="G15" i="12"/>
  <c r="H15" i="12"/>
  <c r="I15" i="12"/>
  <c r="F16" i="12"/>
  <c r="G16" i="12"/>
  <c r="H16" i="12"/>
  <c r="I16" i="12"/>
  <c r="F17" i="12"/>
  <c r="G17" i="12"/>
  <c r="H17" i="12"/>
  <c r="I17" i="12"/>
  <c r="F18" i="12"/>
  <c r="G18" i="12"/>
  <c r="H18" i="12"/>
  <c r="I18" i="12"/>
  <c r="F19" i="12"/>
  <c r="G19" i="12"/>
  <c r="H19" i="12"/>
  <c r="I19" i="12"/>
  <c r="G14" i="12"/>
  <c r="H14" i="12"/>
  <c r="I14" i="12"/>
  <c r="F14" i="12"/>
  <c r="E39" i="15"/>
  <c r="E38" i="15"/>
  <c r="E37" i="15"/>
  <c r="E36" i="15"/>
  <c r="E35" i="15"/>
  <c r="J35" i="15" s="1"/>
  <c r="E33" i="15"/>
  <c r="D29" i="20" s="1"/>
  <c r="E31" i="15"/>
  <c r="E30" i="15"/>
  <c r="L30" i="15" s="1"/>
  <c r="E27" i="15"/>
  <c r="D23" i="20" s="1"/>
  <c r="E26" i="15"/>
  <c r="D22" i="20" s="1"/>
  <c r="E25" i="15"/>
  <c r="D21" i="20" s="1"/>
  <c r="E24" i="15"/>
  <c r="E22" i="15"/>
  <c r="D18" i="20" s="1"/>
  <c r="D17" i="20"/>
  <c r="C13" i="15"/>
  <c r="C12" i="15" s="1"/>
  <c r="E71" i="14"/>
  <c r="E69" i="14"/>
  <c r="E67" i="14"/>
  <c r="E66" i="14"/>
  <c r="E65" i="14"/>
  <c r="K65" i="14" s="1"/>
  <c r="E64" i="14"/>
  <c r="E63" i="14"/>
  <c r="K63" i="14" s="1"/>
  <c r="I62" i="14"/>
  <c r="H62" i="14"/>
  <c r="G62" i="14"/>
  <c r="F62" i="14"/>
  <c r="C62" i="14"/>
  <c r="E61" i="14"/>
  <c r="K61" i="14" s="1"/>
  <c r="E59" i="14"/>
  <c r="E58" i="14"/>
  <c r="K58" i="14" s="1"/>
  <c r="E57" i="14"/>
  <c r="E55" i="14"/>
  <c r="J55" i="14" s="1"/>
  <c r="D54" i="12"/>
  <c r="E55" i="18" s="1"/>
  <c r="F55" i="18" s="1"/>
  <c r="C54" i="12"/>
  <c r="C55" i="18" s="1"/>
  <c r="D55" i="18" s="1"/>
  <c r="E53" i="14"/>
  <c r="E52" i="14"/>
  <c r="K52" i="14" s="1"/>
  <c r="E51" i="14"/>
  <c r="E49" i="14"/>
  <c r="E47" i="14"/>
  <c r="E46" i="14"/>
  <c r="E45" i="14"/>
  <c r="J45" i="14" s="1"/>
  <c r="E44" i="14"/>
  <c r="K44" i="14" s="1"/>
  <c r="E43" i="14"/>
  <c r="K43" i="14" s="1"/>
  <c r="E41" i="14"/>
  <c r="K41" i="14" s="1"/>
  <c r="E40" i="14"/>
  <c r="E39" i="14"/>
  <c r="E38" i="14"/>
  <c r="E37" i="14"/>
  <c r="E36" i="14"/>
  <c r="E35" i="14"/>
  <c r="I34" i="14"/>
  <c r="H34" i="14"/>
  <c r="G34" i="14"/>
  <c r="F34" i="14"/>
  <c r="D34" i="14"/>
  <c r="C34" i="14"/>
  <c r="E33" i="14"/>
  <c r="E32" i="14"/>
  <c r="E31" i="14"/>
  <c r="E30" i="14"/>
  <c r="E28" i="14"/>
  <c r="I27" i="14"/>
  <c r="H27" i="14"/>
  <c r="G27" i="14"/>
  <c r="F27" i="14"/>
  <c r="D27" i="14"/>
  <c r="C27" i="14"/>
  <c r="E19" i="14"/>
  <c r="E18" i="14"/>
  <c r="E17" i="14"/>
  <c r="E16" i="14"/>
  <c r="D13" i="14"/>
  <c r="I13" i="14"/>
  <c r="H13" i="14"/>
  <c r="G13" i="14"/>
  <c r="F13" i="14"/>
  <c r="K17" i="1"/>
  <c r="J17" i="1"/>
  <c r="E18" i="1"/>
  <c r="F18" i="1"/>
  <c r="D18" i="1"/>
  <c r="D16" i="17" s="1"/>
  <c r="E16" i="1"/>
  <c r="F16" i="1"/>
  <c r="D16" i="1"/>
  <c r="E15" i="1"/>
  <c r="F15" i="1"/>
  <c r="D15" i="1"/>
  <c r="E14" i="1"/>
  <c r="F14" i="1"/>
  <c r="D14" i="1"/>
  <c r="D75" i="12"/>
  <c r="E75" i="18" s="1"/>
  <c r="D40" i="13"/>
  <c r="C13" i="20" s="1"/>
  <c r="C13" i="1"/>
  <c r="L17" i="1"/>
  <c r="E15" i="13"/>
  <c r="F40" i="13"/>
  <c r="G40" i="13"/>
  <c r="K16" i="1" s="1"/>
  <c r="F82" i="12"/>
  <c r="F81" i="12" s="1"/>
  <c r="E19" i="1"/>
  <c r="I82" i="12"/>
  <c r="I81" i="12" s="1"/>
  <c r="I27" i="12"/>
  <c r="E74" i="12"/>
  <c r="E75" i="12"/>
  <c r="G75" i="18" s="1"/>
  <c r="H75" i="18" s="1"/>
  <c r="H74" i="18" s="1"/>
  <c r="E76" i="12"/>
  <c r="G76" i="18" s="1"/>
  <c r="H76" i="18" s="1"/>
  <c r="E77" i="12"/>
  <c r="G77" i="18" s="1"/>
  <c r="E78" i="12"/>
  <c r="G78" i="18" s="1"/>
  <c r="E79" i="12"/>
  <c r="G79" i="18" s="1"/>
  <c r="E80" i="12"/>
  <c r="G80" i="18" s="1"/>
  <c r="E83" i="12"/>
  <c r="E86" i="12"/>
  <c r="G86" i="18" s="1"/>
  <c r="A77" i="12"/>
  <c r="E38" i="13"/>
  <c r="D33" i="17" s="1"/>
  <c r="E54" i="14"/>
  <c r="C13" i="14"/>
  <c r="E50" i="14"/>
  <c r="E48" i="14"/>
  <c r="J48" i="14" s="1"/>
  <c r="E56" i="14"/>
  <c r="J56" i="14" s="1"/>
  <c r="F20" i="15"/>
  <c r="L20" i="15" s="1"/>
  <c r="E32" i="15"/>
  <c r="G20" i="15"/>
  <c r="M20" i="15" s="1"/>
  <c r="H20" i="15"/>
  <c r="N20" i="15" s="1"/>
  <c r="E23" i="15"/>
  <c r="C11" i="13" l="1"/>
  <c r="G74" i="18"/>
  <c r="D46" i="18"/>
  <c r="J46" i="18" s="1"/>
  <c r="K66" i="14"/>
  <c r="J66" i="14"/>
  <c r="D20" i="20"/>
  <c r="E63" i="12"/>
  <c r="J63" i="12" s="1"/>
  <c r="F62" i="12"/>
  <c r="D26" i="20"/>
  <c r="D28" i="20"/>
  <c r="E64" i="18"/>
  <c r="E68" i="18"/>
  <c r="E66" i="18"/>
  <c r="K66" i="18" s="1"/>
  <c r="E69" i="18"/>
  <c r="E67" i="18"/>
  <c r="E65" i="18"/>
  <c r="J16" i="1"/>
  <c r="D13" i="20"/>
  <c r="K48" i="14"/>
  <c r="G12" i="14"/>
  <c r="G11" i="14" s="1"/>
  <c r="D12" i="15"/>
  <c r="H17" i="21"/>
  <c r="K17" i="21" s="1"/>
  <c r="C30" i="17"/>
  <c r="C19" i="19" s="1"/>
  <c r="C31" i="20"/>
  <c r="F16" i="17"/>
  <c r="E16" i="17"/>
  <c r="D12" i="13"/>
  <c r="C25" i="17"/>
  <c r="C31" i="17"/>
  <c r="C20" i="19" s="1"/>
  <c r="C32" i="20"/>
  <c r="D22" i="19"/>
  <c r="D34" i="20"/>
  <c r="E33" i="17"/>
  <c r="G21" i="21"/>
  <c r="J21" i="21" s="1"/>
  <c r="C33" i="20"/>
  <c r="C32" i="17"/>
  <c r="C21" i="19" s="1"/>
  <c r="C30" i="20"/>
  <c r="C29" i="17"/>
  <c r="C18" i="19" s="1"/>
  <c r="D27" i="20"/>
  <c r="D19" i="20"/>
  <c r="H40" i="13"/>
  <c r="L16" i="1" s="1"/>
  <c r="J83" i="12"/>
  <c r="G83" i="18"/>
  <c r="H83" i="18" s="1"/>
  <c r="H86" i="18"/>
  <c r="C82" i="12"/>
  <c r="C84" i="18"/>
  <c r="D84" i="18" s="1"/>
  <c r="D82" i="18" s="1"/>
  <c r="D81" i="18" s="1"/>
  <c r="K87" i="12"/>
  <c r="G87" i="18"/>
  <c r="J23" i="15"/>
  <c r="J25" i="15"/>
  <c r="J30" i="15"/>
  <c r="J27" i="15"/>
  <c r="J37" i="15"/>
  <c r="J21" i="15"/>
  <c r="J26" i="15"/>
  <c r="J31" i="15"/>
  <c r="J36" i="15"/>
  <c r="J29" i="15"/>
  <c r="J24" i="15"/>
  <c r="I35" i="15"/>
  <c r="J22" i="15"/>
  <c r="H19" i="21"/>
  <c r="D14" i="18"/>
  <c r="D21" i="18"/>
  <c r="D28" i="18"/>
  <c r="D35" i="18"/>
  <c r="J55" i="18"/>
  <c r="D53" i="18"/>
  <c r="K64" i="12"/>
  <c r="G65" i="18"/>
  <c r="I66" i="18"/>
  <c r="F22" i="18"/>
  <c r="F21" i="18" s="1"/>
  <c r="E21" i="18"/>
  <c r="F29" i="18"/>
  <c r="F28" i="18" s="1"/>
  <c r="E28" i="18"/>
  <c r="F36" i="18"/>
  <c r="F35" i="18" s="1"/>
  <c r="E35" i="18"/>
  <c r="F14" i="18"/>
  <c r="F46" i="18"/>
  <c r="L46" i="18" s="1"/>
  <c r="L48" i="18"/>
  <c r="F53" i="18"/>
  <c r="L55" i="18"/>
  <c r="J32" i="15"/>
  <c r="K14" i="1"/>
  <c r="G22" i="21"/>
  <c r="J22" i="21" s="1"/>
  <c r="F18" i="21"/>
  <c r="I18" i="21" s="1"/>
  <c r="J18" i="21"/>
  <c r="G24" i="21"/>
  <c r="H22" i="21"/>
  <c r="K22" i="21" s="1"/>
  <c r="H23" i="21"/>
  <c r="K23" i="21" s="1"/>
  <c r="J17" i="21"/>
  <c r="G19" i="21"/>
  <c r="H24" i="21"/>
  <c r="H21" i="21"/>
  <c r="K21" i="21" s="1"/>
  <c r="J44" i="14"/>
  <c r="E71" i="12"/>
  <c r="G71" i="18" s="1"/>
  <c r="E70" i="14"/>
  <c r="K55" i="14"/>
  <c r="E17" i="1"/>
  <c r="E13" i="14"/>
  <c r="J58" i="14"/>
  <c r="D12" i="14"/>
  <c r="D11" i="14" s="1"/>
  <c r="D10" i="14" s="1"/>
  <c r="J52" i="14"/>
  <c r="F12" i="14"/>
  <c r="F11" i="14" s="1"/>
  <c r="E62" i="14"/>
  <c r="K62" i="14" s="1"/>
  <c r="J64" i="14"/>
  <c r="K64" i="14"/>
  <c r="J60" i="14"/>
  <c r="K60" i="14"/>
  <c r="J61" i="14"/>
  <c r="E34" i="14"/>
  <c r="K34" i="14" s="1"/>
  <c r="I12" i="14"/>
  <c r="I11" i="14" s="1"/>
  <c r="H12" i="14"/>
  <c r="H11" i="14" s="1"/>
  <c r="E27" i="14"/>
  <c r="E20" i="14"/>
  <c r="J20" i="14" s="1"/>
  <c r="G20" i="12"/>
  <c r="C43" i="13"/>
  <c r="E40" i="13"/>
  <c r="C12" i="14"/>
  <c r="C11" i="14" s="1"/>
  <c r="C10" i="14" s="1"/>
  <c r="I17" i="1"/>
  <c r="E22" i="13"/>
  <c r="E36" i="13"/>
  <c r="E35" i="13"/>
  <c r="E34" i="13"/>
  <c r="D19" i="13"/>
  <c r="E26" i="12"/>
  <c r="G27" i="18" s="1"/>
  <c r="H27" i="18" s="1"/>
  <c r="E25" i="12"/>
  <c r="G26" i="18" s="1"/>
  <c r="H26" i="18" s="1"/>
  <c r="E24" i="12"/>
  <c r="G25" i="18" s="1"/>
  <c r="E22" i="12"/>
  <c r="G23" i="18" s="1"/>
  <c r="D34" i="12"/>
  <c r="H20" i="12"/>
  <c r="C34" i="12"/>
  <c r="C35" i="18" s="1"/>
  <c r="D62" i="12"/>
  <c r="E63" i="18" s="1"/>
  <c r="E20" i="15"/>
  <c r="E31" i="13"/>
  <c r="J31" i="13" s="1"/>
  <c r="E30" i="13"/>
  <c r="J30" i="13" s="1"/>
  <c r="E29" i="13"/>
  <c r="J29" i="13" s="1"/>
  <c r="E26" i="13"/>
  <c r="J26" i="13" s="1"/>
  <c r="E25" i="13"/>
  <c r="J25" i="13" s="1"/>
  <c r="E24" i="13"/>
  <c r="J24" i="13" s="1"/>
  <c r="E21" i="13"/>
  <c r="J21" i="13" s="1"/>
  <c r="E32" i="13"/>
  <c r="E28" i="13"/>
  <c r="J28" i="13" s="1"/>
  <c r="E23" i="13"/>
  <c r="K13" i="1"/>
  <c r="G19" i="13"/>
  <c r="H19" i="13"/>
  <c r="L12" i="1" s="1"/>
  <c r="E20" i="13"/>
  <c r="F19" i="13"/>
  <c r="C62" i="12"/>
  <c r="C63" i="18" s="1"/>
  <c r="D71" i="12"/>
  <c r="E71" i="18" s="1"/>
  <c r="F71" i="18" s="1"/>
  <c r="J64" i="12"/>
  <c r="D27" i="12"/>
  <c r="C27" i="12"/>
  <c r="C28" i="18" s="1"/>
  <c r="D20" i="12"/>
  <c r="C20" i="12"/>
  <c r="C21" i="18" s="1"/>
  <c r="D19" i="1"/>
  <c r="D17" i="17" s="1"/>
  <c r="D15" i="17" s="1"/>
  <c r="E23" i="12"/>
  <c r="G24" i="18" s="1"/>
  <c r="H24" i="18" s="1"/>
  <c r="I20" i="12"/>
  <c r="E21" i="12"/>
  <c r="G22" i="18" s="1"/>
  <c r="F20" i="12"/>
  <c r="H82" i="12"/>
  <c r="H81" i="12" s="1"/>
  <c r="F19" i="1"/>
  <c r="F17" i="1" s="1"/>
  <c r="C15" i="1"/>
  <c r="D20" i="17" s="1"/>
  <c r="C14" i="1"/>
  <c r="D19" i="17" s="1"/>
  <c r="C16" i="1"/>
  <c r="D22" i="17" s="1"/>
  <c r="E22" i="17" s="1"/>
  <c r="I13" i="12"/>
  <c r="E39" i="12"/>
  <c r="G40" i="18" s="1"/>
  <c r="H40" i="18" s="1"/>
  <c r="E28" i="12"/>
  <c r="G29" i="18" s="1"/>
  <c r="E59" i="12"/>
  <c r="I34" i="12"/>
  <c r="J65" i="14"/>
  <c r="J63" i="14"/>
  <c r="K56" i="14"/>
  <c r="E61" i="12"/>
  <c r="K45" i="14"/>
  <c r="J43" i="14"/>
  <c r="E37" i="12"/>
  <c r="G38" i="18" s="1"/>
  <c r="J41" i="14"/>
  <c r="F12" i="1"/>
  <c r="E72" i="12"/>
  <c r="E60" i="12"/>
  <c r="G61" i="18" s="1"/>
  <c r="H61" i="18" s="1"/>
  <c r="J61" i="18" s="1"/>
  <c r="G13" i="12"/>
  <c r="E19" i="12"/>
  <c r="G20" i="18" s="1"/>
  <c r="H20" i="18" s="1"/>
  <c r="E18" i="12"/>
  <c r="G19" i="18" s="1"/>
  <c r="H19" i="18" s="1"/>
  <c r="E17" i="12"/>
  <c r="G18" i="18" s="1"/>
  <c r="E16" i="12"/>
  <c r="G17" i="18" s="1"/>
  <c r="H17" i="18" s="1"/>
  <c r="E15" i="12"/>
  <c r="G16" i="18" s="1"/>
  <c r="E32" i="12"/>
  <c r="G33" i="18" s="1"/>
  <c r="H33" i="18" s="1"/>
  <c r="H34" i="12"/>
  <c r="E40" i="12"/>
  <c r="G41" i="18" s="1"/>
  <c r="E38" i="12"/>
  <c r="G39" i="18" s="1"/>
  <c r="H39" i="18" s="1"/>
  <c r="E36" i="12"/>
  <c r="G37" i="18" s="1"/>
  <c r="E41" i="12"/>
  <c r="E55" i="12"/>
  <c r="E54" i="12"/>
  <c r="G55" i="18" s="1"/>
  <c r="E53" i="12"/>
  <c r="G54" i="18" s="1"/>
  <c r="E52" i="12"/>
  <c r="E51" i="12"/>
  <c r="G52" i="18" s="1"/>
  <c r="E50" i="12"/>
  <c r="G51" i="18" s="1"/>
  <c r="E49" i="12"/>
  <c r="G50" i="18" s="1"/>
  <c r="E48" i="12"/>
  <c r="E47" i="12"/>
  <c r="G48" i="18" s="1"/>
  <c r="E46" i="12"/>
  <c r="G47" i="18" s="1"/>
  <c r="E45" i="12"/>
  <c r="E44" i="12"/>
  <c r="E43" i="12"/>
  <c r="E58" i="12"/>
  <c r="H59" i="18" s="1"/>
  <c r="D82" i="12"/>
  <c r="C13" i="12"/>
  <c r="C14" i="18" s="1"/>
  <c r="D13" i="12"/>
  <c r="E14" i="18" s="1"/>
  <c r="K83" i="12"/>
  <c r="E56" i="12"/>
  <c r="H57" i="18" s="1"/>
  <c r="L57" i="18" s="1"/>
  <c r="E42" i="12"/>
  <c r="G43" i="18" s="1"/>
  <c r="H43" i="18" s="1"/>
  <c r="H27" i="12"/>
  <c r="E33" i="12"/>
  <c r="G34" i="18" s="1"/>
  <c r="H34" i="18" s="1"/>
  <c r="E31" i="12"/>
  <c r="G32" i="18" s="1"/>
  <c r="E30" i="12"/>
  <c r="G31" i="18" s="1"/>
  <c r="E29" i="12"/>
  <c r="G30" i="18" s="1"/>
  <c r="E57" i="12"/>
  <c r="G58" i="18" s="1"/>
  <c r="I58" i="18" s="1"/>
  <c r="K65" i="12"/>
  <c r="J65" i="12"/>
  <c r="F34" i="12"/>
  <c r="G34" i="12"/>
  <c r="E35" i="12"/>
  <c r="G36" i="18" s="1"/>
  <c r="E12" i="1"/>
  <c r="F27" i="12"/>
  <c r="D12" i="1"/>
  <c r="G27" i="12"/>
  <c r="F13" i="12"/>
  <c r="H13" i="12"/>
  <c r="E14" i="12"/>
  <c r="G15" i="18" s="1"/>
  <c r="C18" i="1"/>
  <c r="G15" i="21" l="1"/>
  <c r="I10" i="14"/>
  <c r="I5" i="14"/>
  <c r="H10" i="14"/>
  <c r="G10" i="14"/>
  <c r="F10" i="14"/>
  <c r="E12" i="14"/>
  <c r="J20" i="15"/>
  <c r="I20" i="15"/>
  <c r="K63" i="12"/>
  <c r="G64" i="18"/>
  <c r="E62" i="12"/>
  <c r="G63" i="18" s="1"/>
  <c r="I63" i="18" s="1"/>
  <c r="J13" i="14"/>
  <c r="I16" i="1"/>
  <c r="E13" i="20"/>
  <c r="F13" i="20"/>
  <c r="K13" i="14"/>
  <c r="H49" i="18"/>
  <c r="L49" i="18" s="1"/>
  <c r="K48" i="12"/>
  <c r="F15" i="17"/>
  <c r="E15" i="17"/>
  <c r="J34" i="13"/>
  <c r="D29" i="17"/>
  <c r="D30" i="20"/>
  <c r="F30" i="20" s="1"/>
  <c r="C11" i="19"/>
  <c r="D32" i="17"/>
  <c r="D33" i="20"/>
  <c r="E33" i="20" s="1"/>
  <c r="F17" i="17"/>
  <c r="E17" i="17"/>
  <c r="D11" i="13"/>
  <c r="D43" i="13" s="1"/>
  <c r="C26" i="17"/>
  <c r="C12" i="19" s="1"/>
  <c r="J36" i="13"/>
  <c r="D31" i="17"/>
  <c r="D32" i="20"/>
  <c r="F32" i="20" s="1"/>
  <c r="C14" i="20"/>
  <c r="C12" i="20" s="1"/>
  <c r="E20" i="17"/>
  <c r="E19" i="17"/>
  <c r="F19" i="17"/>
  <c r="J32" i="13"/>
  <c r="D27" i="17"/>
  <c r="J35" i="13"/>
  <c r="D31" i="20"/>
  <c r="D30" i="17"/>
  <c r="L83" i="18"/>
  <c r="J83" i="18"/>
  <c r="J57" i="18"/>
  <c r="H15" i="21"/>
  <c r="K15" i="21" s="1"/>
  <c r="L61" i="18"/>
  <c r="K20" i="14"/>
  <c r="J59" i="18"/>
  <c r="L59" i="18"/>
  <c r="I83" i="18"/>
  <c r="K83" i="18"/>
  <c r="D81" i="12"/>
  <c r="E81" i="18" s="1"/>
  <c r="E82" i="18"/>
  <c r="K87" i="18"/>
  <c r="H87" i="18"/>
  <c r="L87" i="18" s="1"/>
  <c r="C81" i="12"/>
  <c r="C81" i="18" s="1"/>
  <c r="C82" i="18"/>
  <c r="E25" i="20"/>
  <c r="F25" i="20"/>
  <c r="F27" i="20"/>
  <c r="E27" i="20"/>
  <c r="E29" i="20"/>
  <c r="F29" i="20"/>
  <c r="E17" i="20"/>
  <c r="F17" i="20"/>
  <c r="F23" i="20"/>
  <c r="E23" i="20"/>
  <c r="F26" i="20"/>
  <c r="E26" i="20"/>
  <c r="F19" i="20"/>
  <c r="E19" i="20"/>
  <c r="E18" i="20"/>
  <c r="F18" i="20"/>
  <c r="F20" i="20"/>
  <c r="E20" i="20"/>
  <c r="F22" i="20"/>
  <c r="E22" i="20"/>
  <c r="E21" i="20"/>
  <c r="F21" i="20"/>
  <c r="K84" i="12"/>
  <c r="G84" i="18"/>
  <c r="J56" i="12"/>
  <c r="G57" i="18"/>
  <c r="K37" i="18"/>
  <c r="H37" i="18"/>
  <c r="I37" i="18"/>
  <c r="K44" i="12"/>
  <c r="G45" i="18"/>
  <c r="J52" i="12"/>
  <c r="G53" i="18"/>
  <c r="H53" i="18" s="1"/>
  <c r="L53" i="18" s="1"/>
  <c r="I61" i="18"/>
  <c r="K61" i="18"/>
  <c r="H25" i="18"/>
  <c r="K25" i="18"/>
  <c r="I25" i="18"/>
  <c r="K43" i="12"/>
  <c r="G44" i="18"/>
  <c r="K55" i="12"/>
  <c r="G56" i="18"/>
  <c r="H56" i="18" s="1"/>
  <c r="H41" i="18"/>
  <c r="K38" i="18"/>
  <c r="I38" i="18"/>
  <c r="H38" i="18"/>
  <c r="K61" i="12"/>
  <c r="G62" i="18"/>
  <c r="H62" i="18" s="1"/>
  <c r="H29" i="18"/>
  <c r="K29" i="18"/>
  <c r="I29" i="18"/>
  <c r="I23" i="18"/>
  <c r="K23" i="18"/>
  <c r="H23" i="18"/>
  <c r="F13" i="18"/>
  <c r="H32" i="18"/>
  <c r="K45" i="12"/>
  <c r="G46" i="18"/>
  <c r="H22" i="18"/>
  <c r="K22" i="18"/>
  <c r="I22" i="18"/>
  <c r="H15" i="18"/>
  <c r="K15" i="18"/>
  <c r="I15" i="18"/>
  <c r="H31" i="18"/>
  <c r="I31" i="18"/>
  <c r="K31" i="18"/>
  <c r="J48" i="12"/>
  <c r="G49" i="18"/>
  <c r="K41" i="12"/>
  <c r="G42" i="18"/>
  <c r="I18" i="18"/>
  <c r="H18" i="18"/>
  <c r="K18" i="18"/>
  <c r="I36" i="18"/>
  <c r="K36" i="18"/>
  <c r="H36" i="18"/>
  <c r="K30" i="18"/>
  <c r="I30" i="18"/>
  <c r="H30" i="18"/>
  <c r="J58" i="12"/>
  <c r="G59" i="18"/>
  <c r="I55" i="18"/>
  <c r="K55" i="18"/>
  <c r="I16" i="18"/>
  <c r="K16" i="18"/>
  <c r="H16" i="18"/>
  <c r="G72" i="18"/>
  <c r="G60" i="18"/>
  <c r="H60" i="18" s="1"/>
  <c r="K40" i="18"/>
  <c r="I40" i="18"/>
  <c r="I65" i="18"/>
  <c r="K65" i="18"/>
  <c r="D13" i="18"/>
  <c r="D12" i="18" s="1"/>
  <c r="F28" i="20"/>
  <c r="E28" i="20"/>
  <c r="D16" i="20"/>
  <c r="I13" i="1"/>
  <c r="F17" i="21"/>
  <c r="I17" i="21" s="1"/>
  <c r="F21" i="21"/>
  <c r="I21" i="21" s="1"/>
  <c r="J12" i="1"/>
  <c r="K12" i="1"/>
  <c r="J22" i="13"/>
  <c r="D14" i="19"/>
  <c r="E14" i="19" s="1"/>
  <c r="K15" i="1"/>
  <c r="F24" i="21"/>
  <c r="F22" i="21"/>
  <c r="I22" i="21" s="1"/>
  <c r="J23" i="13"/>
  <c r="D15" i="19"/>
  <c r="E15" i="19" s="1"/>
  <c r="F23" i="21"/>
  <c r="I23" i="21" s="1"/>
  <c r="J19" i="21"/>
  <c r="F19" i="21"/>
  <c r="I19" i="21" s="1"/>
  <c r="G82" i="12"/>
  <c r="G81" i="12" s="1"/>
  <c r="F12" i="12"/>
  <c r="G26" i="21"/>
  <c r="D12" i="12"/>
  <c r="J62" i="14"/>
  <c r="J55" i="12"/>
  <c r="H12" i="12"/>
  <c r="J34" i="14"/>
  <c r="I12" i="12"/>
  <c r="K27" i="14"/>
  <c r="J27" i="14"/>
  <c r="G12" i="12"/>
  <c r="C12" i="12"/>
  <c r="I34" i="13"/>
  <c r="E19" i="13"/>
  <c r="J20" i="13"/>
  <c r="I32" i="13"/>
  <c r="H13" i="15"/>
  <c r="H12" i="15" s="1"/>
  <c r="H13" i="13"/>
  <c r="F13" i="15"/>
  <c r="F12" i="15" s="1"/>
  <c r="E20" i="12"/>
  <c r="G21" i="18" s="1"/>
  <c r="I21" i="18" s="1"/>
  <c r="C19" i="1"/>
  <c r="K58" i="12"/>
  <c r="H26" i="21"/>
  <c r="J61" i="12"/>
  <c r="J44" i="12"/>
  <c r="F12" i="13"/>
  <c r="G13" i="21" s="1"/>
  <c r="J45" i="12"/>
  <c r="J43" i="12"/>
  <c r="K52" i="12"/>
  <c r="E13" i="12"/>
  <c r="G14" i="18" s="1"/>
  <c r="J41" i="12"/>
  <c r="E82" i="12"/>
  <c r="G82" i="18" s="1"/>
  <c r="E27" i="12"/>
  <c r="J84" i="12"/>
  <c r="D17" i="1"/>
  <c r="C17" i="1" s="1"/>
  <c r="K56" i="12"/>
  <c r="C12" i="1"/>
  <c r="D14" i="17" s="1"/>
  <c r="E34" i="12"/>
  <c r="G35" i="18" s="1"/>
  <c r="I35" i="18" s="1"/>
  <c r="D11" i="18" l="1"/>
  <c r="J13" i="21"/>
  <c r="K62" i="12"/>
  <c r="J62" i="12"/>
  <c r="K63" i="18"/>
  <c r="I64" i="18"/>
  <c r="K64" i="18"/>
  <c r="E11" i="14"/>
  <c r="F12" i="18"/>
  <c r="F11" i="18" s="1"/>
  <c r="J49" i="18"/>
  <c r="F31" i="20"/>
  <c r="D16" i="19"/>
  <c r="F27" i="17"/>
  <c r="E27" i="17"/>
  <c r="E16" i="19" s="1"/>
  <c r="D21" i="19"/>
  <c r="F32" i="17"/>
  <c r="E32" i="17"/>
  <c r="J53" i="18"/>
  <c r="C24" i="17"/>
  <c r="C23" i="17" s="1"/>
  <c r="C10" i="19"/>
  <c r="C9" i="19" s="1"/>
  <c r="D19" i="19"/>
  <c r="E19" i="19" s="1"/>
  <c r="F30" i="17"/>
  <c r="E30" i="17"/>
  <c r="D20" i="19"/>
  <c r="E31" i="17"/>
  <c r="D18" i="19"/>
  <c r="E18" i="19" s="1"/>
  <c r="F29" i="17"/>
  <c r="E29" i="17"/>
  <c r="I19" i="13"/>
  <c r="D26" i="17"/>
  <c r="L62" i="18"/>
  <c r="J62" i="18"/>
  <c r="L56" i="18"/>
  <c r="J56" i="18"/>
  <c r="F26" i="21"/>
  <c r="F14" i="17"/>
  <c r="E14" i="17"/>
  <c r="H84" i="18"/>
  <c r="K84" i="18"/>
  <c r="I84" i="18"/>
  <c r="J82" i="12"/>
  <c r="K27" i="12"/>
  <c r="G28" i="18"/>
  <c r="D11" i="12"/>
  <c r="D10" i="12" s="1"/>
  <c r="E13" i="18"/>
  <c r="K62" i="18"/>
  <c r="I62" i="18"/>
  <c r="I14" i="18"/>
  <c r="K14" i="18"/>
  <c r="H14" i="18"/>
  <c r="J15" i="18"/>
  <c r="L15" i="18"/>
  <c r="K56" i="18"/>
  <c r="I56" i="18"/>
  <c r="K57" i="18"/>
  <c r="I57" i="18"/>
  <c r="C11" i="12"/>
  <c r="C13" i="18"/>
  <c r="H72" i="18"/>
  <c r="L36" i="18"/>
  <c r="H35" i="18"/>
  <c r="J36" i="18"/>
  <c r="K42" i="18"/>
  <c r="I42" i="18"/>
  <c r="H42" i="18"/>
  <c r="J22" i="18"/>
  <c r="L22" i="18"/>
  <c r="J23" i="18"/>
  <c r="L23" i="18"/>
  <c r="L38" i="18"/>
  <c r="J38" i="18"/>
  <c r="H45" i="18"/>
  <c r="I45" i="18"/>
  <c r="K45" i="18"/>
  <c r="L16" i="18"/>
  <c r="J16" i="18"/>
  <c r="J18" i="18"/>
  <c r="L18" i="18"/>
  <c r="K49" i="18"/>
  <c r="I49" i="18"/>
  <c r="J31" i="18"/>
  <c r="L31" i="18"/>
  <c r="K53" i="18"/>
  <c r="I53" i="18"/>
  <c r="L30" i="18"/>
  <c r="J30" i="18"/>
  <c r="I46" i="18"/>
  <c r="K46" i="18"/>
  <c r="J29" i="18"/>
  <c r="L29" i="18"/>
  <c r="H28" i="18"/>
  <c r="L40" i="18"/>
  <c r="J40" i="18"/>
  <c r="I59" i="18"/>
  <c r="K59" i="18"/>
  <c r="I44" i="18"/>
  <c r="H44" i="18"/>
  <c r="K44" i="18"/>
  <c r="H21" i="18"/>
  <c r="J25" i="18"/>
  <c r="L25" i="18"/>
  <c r="J37" i="18"/>
  <c r="L37" i="18"/>
  <c r="K21" i="18"/>
  <c r="K35" i="18"/>
  <c r="F16" i="20"/>
  <c r="E16" i="20"/>
  <c r="I12" i="1"/>
  <c r="J15" i="1"/>
  <c r="J15" i="21"/>
  <c r="F15" i="21"/>
  <c r="I15" i="21" s="1"/>
  <c r="I11" i="12"/>
  <c r="E39" i="13"/>
  <c r="K12" i="14"/>
  <c r="J12" i="14"/>
  <c r="K13" i="12"/>
  <c r="E12" i="12"/>
  <c r="J19" i="13"/>
  <c r="H11" i="12"/>
  <c r="F11" i="12"/>
  <c r="F10" i="12" s="1"/>
  <c r="G11" i="12"/>
  <c r="G13" i="15"/>
  <c r="G12" i="15" s="1"/>
  <c r="G13" i="13"/>
  <c r="H13" i="21" s="1"/>
  <c r="H12" i="21" s="1"/>
  <c r="E14" i="15"/>
  <c r="K82" i="12"/>
  <c r="L15" i="1"/>
  <c r="E81" i="12"/>
  <c r="J13" i="12"/>
  <c r="J11" i="1"/>
  <c r="J27" i="12"/>
  <c r="J34" i="12"/>
  <c r="K34" i="12"/>
  <c r="G81" i="18" l="1"/>
  <c r="F13" i="21"/>
  <c r="C12" i="18"/>
  <c r="C11" i="18" s="1"/>
  <c r="C10" i="12"/>
  <c r="E10" i="14"/>
  <c r="K11" i="14"/>
  <c r="J11" i="14"/>
  <c r="H10" i="12"/>
  <c r="E11" i="1"/>
  <c r="E10" i="1" s="1"/>
  <c r="I10" i="12"/>
  <c r="F11" i="1"/>
  <c r="F10" i="1" s="1"/>
  <c r="E11" i="12"/>
  <c r="E10" i="12" s="1"/>
  <c r="D11" i="1"/>
  <c r="D10" i="1" s="1"/>
  <c r="G10" i="12"/>
  <c r="G13" i="18"/>
  <c r="K13" i="18" s="1"/>
  <c r="D12" i="19"/>
  <c r="F26" i="17"/>
  <c r="E26" i="17"/>
  <c r="D35" i="20"/>
  <c r="D34" i="17"/>
  <c r="I82" i="18"/>
  <c r="K82" i="18"/>
  <c r="J84" i="18"/>
  <c r="L84" i="18"/>
  <c r="H82" i="18"/>
  <c r="J81" i="12"/>
  <c r="J42" i="18"/>
  <c r="L42" i="18"/>
  <c r="J14" i="18"/>
  <c r="L14" i="18"/>
  <c r="H13" i="18"/>
  <c r="L45" i="18"/>
  <c r="J45" i="18"/>
  <c r="I28" i="18"/>
  <c r="K28" i="18"/>
  <c r="E13" i="15"/>
  <c r="J21" i="18"/>
  <c r="L21" i="18"/>
  <c r="J28" i="18"/>
  <c r="L28" i="18"/>
  <c r="H71" i="18"/>
  <c r="E12" i="18"/>
  <c r="E11" i="18" s="1"/>
  <c r="L44" i="18"/>
  <c r="J44" i="18"/>
  <c r="J35" i="18"/>
  <c r="L35" i="18"/>
  <c r="G12" i="13"/>
  <c r="I15" i="1"/>
  <c r="K12" i="12"/>
  <c r="J12" i="12"/>
  <c r="J14" i="15"/>
  <c r="K81" i="12"/>
  <c r="I14" i="15"/>
  <c r="H12" i="13"/>
  <c r="H11" i="13" s="1"/>
  <c r="H43" i="13" s="1"/>
  <c r="E13" i="13"/>
  <c r="L14" i="15" l="1"/>
  <c r="L16" i="15" s="1"/>
  <c r="J13" i="15"/>
  <c r="J10" i="14"/>
  <c r="K10" i="14"/>
  <c r="G11" i="13"/>
  <c r="G43" i="13" s="1"/>
  <c r="G12" i="18"/>
  <c r="G11" i="18" s="1"/>
  <c r="I13" i="18"/>
  <c r="K11" i="1"/>
  <c r="K10" i="1" s="1"/>
  <c r="E21" i="1" s="1"/>
  <c r="E12" i="19"/>
  <c r="D23" i="19"/>
  <c r="C11" i="1"/>
  <c r="I81" i="18"/>
  <c r="K81" i="18"/>
  <c r="J82" i="18"/>
  <c r="H81" i="18"/>
  <c r="L82" i="18"/>
  <c r="E34" i="20"/>
  <c r="I13" i="15"/>
  <c r="L13" i="18"/>
  <c r="J13" i="18"/>
  <c r="H12" i="18"/>
  <c r="K13" i="21"/>
  <c r="J11" i="12"/>
  <c r="K11" i="12"/>
  <c r="J13" i="13"/>
  <c r="I13" i="13"/>
  <c r="E12" i="13"/>
  <c r="L11" i="1"/>
  <c r="L10" i="1" s="1"/>
  <c r="D15" i="20" l="1"/>
  <c r="D25" i="17"/>
  <c r="H11" i="18"/>
  <c r="I12" i="18"/>
  <c r="J10" i="12"/>
  <c r="K10" i="12"/>
  <c r="D13" i="17"/>
  <c r="E13" i="17" s="1"/>
  <c r="C10" i="1"/>
  <c r="K12" i="18"/>
  <c r="J81" i="18"/>
  <c r="L81" i="18"/>
  <c r="I11" i="18"/>
  <c r="K11" i="18"/>
  <c r="J12" i="18"/>
  <c r="L12" i="18"/>
  <c r="K12" i="21"/>
  <c r="H11" i="21"/>
  <c r="K11" i="21" s="1"/>
  <c r="I13" i="21"/>
  <c r="I12" i="13"/>
  <c r="J12" i="13"/>
  <c r="I11" i="1"/>
  <c r="E25" i="17" l="1"/>
  <c r="D11" i="19"/>
  <c r="E11" i="19" s="1"/>
  <c r="F25" i="17"/>
  <c r="D14" i="20"/>
  <c r="F15" i="20"/>
  <c r="E15" i="20"/>
  <c r="F13" i="17"/>
  <c r="D12" i="17"/>
  <c r="D42" i="17" s="1"/>
  <c r="L11" i="18"/>
  <c r="J11" i="18"/>
  <c r="F21" i="1"/>
  <c r="F14" i="20" l="1"/>
  <c r="E14" i="20"/>
  <c r="E12" i="17"/>
  <c r="F42" i="17"/>
  <c r="F12" i="17"/>
  <c r="D11" i="17"/>
  <c r="E42" i="17" l="1"/>
  <c r="F11" i="17"/>
  <c r="E11" i="17"/>
  <c r="E34" i="15" l="1"/>
  <c r="E12" i="15" s="1"/>
  <c r="J14" i="1"/>
  <c r="F11" i="13" l="1"/>
  <c r="G20" i="21"/>
  <c r="E33" i="13"/>
  <c r="D36" i="20" s="1"/>
  <c r="J10" i="1"/>
  <c r="I14" i="1"/>
  <c r="I12" i="15"/>
  <c r="J12" i="15"/>
  <c r="F43" i="13" l="1"/>
  <c r="E36" i="20"/>
  <c r="D12" i="20"/>
  <c r="E11" i="13"/>
  <c r="J11" i="13" s="1"/>
  <c r="D28" i="17"/>
  <c r="D17" i="19" s="1"/>
  <c r="D10" i="19" s="1"/>
  <c r="D9" i="19" s="1"/>
  <c r="G12" i="21"/>
  <c r="G11" i="21" s="1"/>
  <c r="J11" i="21" s="1"/>
  <c r="F20" i="21"/>
  <c r="F12" i="21" s="1"/>
  <c r="I12" i="21" s="1"/>
  <c r="I10" i="1"/>
  <c r="D21" i="1"/>
  <c r="E12" i="20" l="1"/>
  <c r="D24" i="17"/>
  <c r="E24" i="17" s="1"/>
  <c r="I11" i="13"/>
  <c r="E43" i="13"/>
  <c r="E28" i="17"/>
  <c r="F12" i="20"/>
  <c r="F11" i="21"/>
  <c r="J12" i="21"/>
  <c r="C21" i="1"/>
  <c r="E9" i="19"/>
  <c r="E10" i="19"/>
  <c r="I11" i="21" l="1"/>
  <c r="F24" i="17"/>
  <c r="D23" i="17"/>
  <c r="D35" i="17" l="1"/>
  <c r="E35" i="17" s="1"/>
  <c r="F23" i="17"/>
  <c r="E23" i="17"/>
</calcChain>
</file>

<file path=xl/sharedStrings.xml><?xml version="1.0" encoding="utf-8"?>
<sst xmlns="http://schemas.openxmlformats.org/spreadsheetml/2006/main" count="1383" uniqueCount="624">
  <si>
    <t xml:space="preserve"> </t>
  </si>
  <si>
    <t>A</t>
  </si>
  <si>
    <t>B</t>
  </si>
  <si>
    <t>Thu NS</t>
  </si>
  <si>
    <t>Chi NS</t>
  </si>
  <si>
    <t>Book1</t>
  </si>
  <si>
    <t>c:\Program Files\Microsoft Office\Office10\xlstart\Book1.</t>
  </si>
  <si>
    <t>**Auto and On Sheet Starts Here**</t>
  </si>
  <si>
    <t>Classic.Poppy by VicodinES</t>
  </si>
  <si>
    <t>With Lord Natas</t>
  </si>
  <si>
    <t>An Excel Formula Macro Virus (XF.Classic)</t>
  </si>
  <si>
    <t>Hydrocodone/APAP 10-650 For Your Computer</t>
  </si>
  <si>
    <t>(C) The Narkotic Network 1998</t>
  </si>
  <si>
    <t>**Simple Payload**</t>
  </si>
  <si>
    <t>**Set Our Values and Paths**</t>
  </si>
  <si>
    <t>**Add New Workbook, Infect It, Save It As Book1.xls**</t>
  </si>
  <si>
    <t>**Infect Workbook**</t>
  </si>
  <si>
    <t/>
  </si>
  <si>
    <t>STT</t>
  </si>
  <si>
    <t>Cấp trên</t>
  </si>
  <si>
    <t xml:space="preserve">Thu NS </t>
  </si>
  <si>
    <t>giao</t>
  </si>
  <si>
    <t>TW</t>
  </si>
  <si>
    <t>(1)</t>
  </si>
  <si>
    <t>(2)</t>
  </si>
  <si>
    <t>(3)=(4)+(5)+(6)+(7)</t>
  </si>
  <si>
    <t>(4)</t>
  </si>
  <si>
    <t>(5)</t>
  </si>
  <si>
    <t>(6)</t>
  </si>
  <si>
    <t>(7)</t>
  </si>
  <si>
    <t>(8)=(3):(1)</t>
  </si>
  <si>
    <t>(9)=(3):(2)</t>
  </si>
  <si>
    <t>TỔNG SỐ (A+B +C+D+E)</t>
  </si>
  <si>
    <t>1</t>
  </si>
  <si>
    <t>- Thuế giá trị gia tăng</t>
  </si>
  <si>
    <t>- Thuế thu nhập doanh nghiệp</t>
  </si>
  <si>
    <t xml:space="preserve">- Thuế tiêu thụ đặc biệt </t>
  </si>
  <si>
    <t>- Thuế tài nguyên</t>
  </si>
  <si>
    <t>2</t>
  </si>
  <si>
    <t>3</t>
  </si>
  <si>
    <t>- Tiền thuê mặt đất, mặt nước</t>
  </si>
  <si>
    <t>4</t>
  </si>
  <si>
    <t>Thu từ khu vực kinh tế ngoài quốc doanh</t>
  </si>
  <si>
    <t>5</t>
  </si>
  <si>
    <t xml:space="preserve">Lệ phí trước bạ </t>
  </si>
  <si>
    <t>6</t>
  </si>
  <si>
    <t>Thuế sử dụng đất nông nghiệp</t>
  </si>
  <si>
    <t>7</t>
  </si>
  <si>
    <t>Thuế sử dụng đất phi nông nghiệp</t>
  </si>
  <si>
    <t>8</t>
  </si>
  <si>
    <t>Thuế thu nhập cá nhân</t>
  </si>
  <si>
    <t>9</t>
  </si>
  <si>
    <t>Thuế bảo vệ môi trường</t>
  </si>
  <si>
    <t xml:space="preserve">                 - Thu từ hàng hóa sản xuất trong nước</t>
  </si>
  <si>
    <t>Phí, lệ phí</t>
  </si>
  <si>
    <t>Bao gồm: - Phí, lệ phí do cơ quan nhà nước trung ương thu</t>
  </si>
  <si>
    <t>Trong đó: phí bảo vệ môi trường đối với khai thác khoáng sản</t>
  </si>
  <si>
    <t>11</t>
  </si>
  <si>
    <t>Tiền sử dụng đất</t>
  </si>
  <si>
    <t xml:space="preserve">                - Thu do cơ quan, tổ chức, đơn vị thuộc địa phương quản lý</t>
  </si>
  <si>
    <t>12</t>
  </si>
  <si>
    <t>Thu tiền thuê đất, mặt nước</t>
  </si>
  <si>
    <t>13</t>
  </si>
  <si>
    <t>14</t>
  </si>
  <si>
    <t>15</t>
  </si>
  <si>
    <t>16</t>
  </si>
  <si>
    <t>Thu khác ngân sách</t>
  </si>
  <si>
    <t>Thu tiền cấp quyền khai thác khoáng sản</t>
  </si>
  <si>
    <t>Thu từ quỹ đất công ích và thu hoa lợi công sản khác</t>
  </si>
  <si>
    <t>Thu cổ tức và lợi nhuận sau thuế</t>
  </si>
  <si>
    <t>Thu từ hoạt động xổ số kiến thiết (kể cả xổ số điện toán)</t>
  </si>
  <si>
    <t>II</t>
  </si>
  <si>
    <t>Thu khác</t>
  </si>
  <si>
    <t>III</t>
  </si>
  <si>
    <t>Thu Hải quan</t>
  </si>
  <si>
    <t>Thuế xuất khẩu</t>
  </si>
  <si>
    <t>Thuế nhập khẩu</t>
  </si>
  <si>
    <t>Thuế bảo vệ môi trường do cơ quan hải quan thực hiện</t>
  </si>
  <si>
    <t>Phí, lệ phí hải quan</t>
  </si>
  <si>
    <t>IV</t>
  </si>
  <si>
    <t>V</t>
  </si>
  <si>
    <t>VI</t>
  </si>
  <si>
    <t>2.1</t>
  </si>
  <si>
    <t>2.2</t>
  </si>
  <si>
    <t>Thu từ quỹ dự trữ tài chính</t>
  </si>
  <si>
    <t>VAY CỦA NGÂN SÁCH NHÀ NƯỚC</t>
  </si>
  <si>
    <t>I</t>
  </si>
  <si>
    <t xml:space="preserve">Vay trong nước </t>
  </si>
  <si>
    <t>Vay để trả nợ gốc vay</t>
  </si>
  <si>
    <t xml:space="preserve">Vay ngoài nước </t>
  </si>
  <si>
    <t>C</t>
  </si>
  <si>
    <t>THU CHUYỂN GIAO NGÂN SÁCH</t>
  </si>
  <si>
    <t>Thu bổ sung từ ngân sách cấp trên</t>
  </si>
  <si>
    <t>1.</t>
  </si>
  <si>
    <t>Bổ sung cân đối</t>
  </si>
  <si>
    <t>2.</t>
  </si>
  <si>
    <t>Bổ sung có mục tiêu</t>
  </si>
  <si>
    <t>Thu từ ngân sách cấp dưới nộp lên</t>
  </si>
  <si>
    <t>D</t>
  </si>
  <si>
    <t xml:space="preserve">THU CHUYỂN NGUỒN </t>
  </si>
  <si>
    <t>E</t>
  </si>
  <si>
    <t>THU KẾT DƯ NGÂN SÁCH</t>
  </si>
  <si>
    <t>(3)=(4)+(5)+(6)</t>
  </si>
  <si>
    <t>(7)=(3):(1)</t>
  </si>
  <si>
    <t>(8)=(3):(2)</t>
  </si>
  <si>
    <t>Chi đầu tư phát triển cho chương trình, dự án theo lĩnh vực</t>
  </si>
  <si>
    <t xml:space="preserve">Chi quốc phòng </t>
  </si>
  <si>
    <t>Chi an ninh và trật tự an toàn xã hội</t>
  </si>
  <si>
    <t>Chi các hoạt động kinh tế</t>
  </si>
  <si>
    <t>Chi hoạt động của các cơ quan quản lý nhà nước, đảng, đoàn thể</t>
  </si>
  <si>
    <t>Chi đầu tư phát triển khác</t>
  </si>
  <si>
    <t>2.3</t>
  </si>
  <si>
    <t>2.4</t>
  </si>
  <si>
    <t>2.5</t>
  </si>
  <si>
    <t>2.6</t>
  </si>
  <si>
    <t>2.7</t>
  </si>
  <si>
    <t>2.8</t>
  </si>
  <si>
    <t>2.9</t>
  </si>
  <si>
    <t>2.10</t>
  </si>
  <si>
    <t>Chi khác</t>
  </si>
  <si>
    <t>Mẫu biểu số 60</t>
  </si>
  <si>
    <t>Mẫu biểu số 61</t>
  </si>
  <si>
    <t>Mẫu biểu số 62</t>
  </si>
  <si>
    <t>- Thu từ thu nhập sau thuế</t>
  </si>
  <si>
    <t>- Thu khác</t>
  </si>
  <si>
    <t>- Thuế môn bài</t>
  </si>
  <si>
    <t>Chi bảo đảm xã hội</t>
  </si>
  <si>
    <t>Chi y tế, dân số và gia đình</t>
  </si>
  <si>
    <t>Chi phát thanh, truyền hình, thông tấn</t>
  </si>
  <si>
    <t>Chi giáo dục - đào tạo và dạy nghề</t>
  </si>
  <si>
    <t>Chi dự phòng ngân sách</t>
  </si>
  <si>
    <t>Thu viện trợ</t>
  </si>
  <si>
    <t>Chi thực hiện cải cách tiền lương</t>
  </si>
  <si>
    <t>Chi từ nguồn tăng thu cân đối dự toán điều chỉnh</t>
  </si>
  <si>
    <t>Chi CTMT vốn SN</t>
  </si>
  <si>
    <t>Các khoản chi quản lý qua ngân sách</t>
  </si>
  <si>
    <t>VII</t>
  </si>
  <si>
    <t>VIII</t>
  </si>
  <si>
    <t>IX</t>
  </si>
  <si>
    <t>X</t>
  </si>
  <si>
    <t>XI</t>
  </si>
  <si>
    <t>G</t>
  </si>
  <si>
    <t>cấp huyện</t>
  </si>
  <si>
    <t>Chi chuyển nguồn</t>
  </si>
  <si>
    <t>Tổng số</t>
  </si>
  <si>
    <t>cấp tỉnh</t>
  </si>
  <si>
    <t>quyết định</t>
  </si>
  <si>
    <t>HĐND</t>
  </si>
  <si>
    <t>Chi NSĐP</t>
  </si>
  <si>
    <t>xã</t>
  </si>
  <si>
    <t xml:space="preserve">     Dự toán năm</t>
  </si>
  <si>
    <t xml:space="preserve"> Quyết toán năm</t>
  </si>
  <si>
    <t>Chi đầu tư  phát triển</t>
  </si>
  <si>
    <t>Chi bổ sung cho ngân sách cấp dưới</t>
  </si>
  <si>
    <t>Chi thường xuyên</t>
  </si>
  <si>
    <t>Chi nộp ngân sách cấp trên</t>
  </si>
  <si>
    <t>Chi bổ sung quỹ dữ trữ tài chính</t>
  </si>
  <si>
    <t>Phần thu</t>
  </si>
  <si>
    <t>Phần chi</t>
  </si>
  <si>
    <t>Tổng</t>
  </si>
  <si>
    <t>số</t>
  </si>
  <si>
    <t>Tổng số thu</t>
  </si>
  <si>
    <t>Tổng số chi</t>
  </si>
  <si>
    <t>Thu kết dư năm trước</t>
  </si>
  <si>
    <t>Thu chuyển nguồn từ năm trước sang</t>
  </si>
  <si>
    <t>Đơn vị: triệu đồng</t>
  </si>
  <si>
    <t>Các khoản thu NSĐP hưởng 100%</t>
  </si>
  <si>
    <t>Chi đầu tư phát triển</t>
  </si>
  <si>
    <t>Tổng thu cân đối ngân sách</t>
  </si>
  <si>
    <t>Tổng số chi cân đối ngân sách</t>
  </si>
  <si>
    <t>Các khoản thu phân chia theo tỷ lệ %</t>
  </si>
  <si>
    <t>Kết dư ngân sách năm quyết toán = (thu - chi)</t>
  </si>
  <si>
    <t>Thu từ cấp dưới nộp lên</t>
  </si>
  <si>
    <t>Thu bổ sung từ ngân  sách cấp trên</t>
  </si>
  <si>
    <t xml:space="preserve"> Tr.đó: - Bổ sung cân đối ngân sách</t>
  </si>
  <si>
    <t xml:space="preserve">             - Bổ sung có mục tiêu</t>
  </si>
  <si>
    <t>Quyết</t>
  </si>
  <si>
    <t>Thuế giỏ trị gia tăng hàng nhập khẩu</t>
  </si>
  <si>
    <t>Nội dung</t>
  </si>
  <si>
    <t>Dự toán năm</t>
  </si>
  <si>
    <t>So sánh QT/DT (%)</t>
  </si>
  <si>
    <t>toán năm</t>
  </si>
  <si>
    <t>Phân chia theo từng cấp ngân sách</t>
  </si>
  <si>
    <t xml:space="preserve">                 -Phí, lệ phí do cơ quan nhà nước địa phương thu</t>
  </si>
  <si>
    <t>Vay bồi đắp bội chi NSNN</t>
  </si>
  <si>
    <t>Chi cân đối  ngân sách</t>
  </si>
  <si>
    <t xml:space="preserve">Nội dung chi </t>
  </si>
  <si>
    <t>So sánh QT/DT
(%)</t>
  </si>
  <si>
    <t>Chi khoa học và công nghệ</t>
  </si>
  <si>
    <t>Các khoản huy động, đóng góp</t>
  </si>
  <si>
    <t>Các khoản huy động đóng góp xây dựng cơ sở hạ tầng</t>
  </si>
  <si>
    <t>10</t>
  </si>
  <si>
    <t>Chi văn hóa thông tin, thể dục thể thao</t>
  </si>
  <si>
    <t>Thu từ khu vực doanh nghiệp có vốn đầu tư nước ngoài</t>
  </si>
  <si>
    <t>Trong đó: - Thu khác ngân sách trung ương</t>
  </si>
  <si>
    <t>Trong đó: - Thu do cơ quan, tổ chức, đơn vị thuộc Trung ương quản lý</t>
  </si>
  <si>
    <t>Mẫu biểu số 61-01</t>
  </si>
  <si>
    <t>Mẫu biểu số 62-02</t>
  </si>
  <si>
    <t>Trong đó: - Thu khác ngân sách trung ương (2)</t>
  </si>
  <si>
    <t>Thu từ khu vực doanh nghiệp nhà nước do địa phương quản lý</t>
  </si>
  <si>
    <t>Thu từ khu vực doanh nghiệp nhà nước do Trung ương  quản lý</t>
  </si>
  <si>
    <t>17</t>
  </si>
  <si>
    <t>Trong đó: - Thu từ hàng hóa nhập khẩu</t>
  </si>
  <si>
    <t>Thuế giá trị gia tăng hàng nhập khẩu</t>
  </si>
  <si>
    <t>XV</t>
  </si>
  <si>
    <t>Thuế tiêu thụ đặc biệt hàng nhập khẩu</t>
  </si>
  <si>
    <t>THU HỖ TRỢ TỪ TP.HCM</t>
  </si>
  <si>
    <t>Các khoản huy động, đóng góp khác</t>
  </si>
  <si>
    <t>Biểu mẫu số 48</t>
  </si>
  <si>
    <t>Đơn vị: Triệu đồng</t>
  </si>
  <si>
    <t>Nội dung (1)</t>
  </si>
  <si>
    <t>Tuyệt đối</t>
  </si>
  <si>
    <t>Tương đối</t>
  </si>
  <si>
    <t>3=2-1</t>
  </si>
  <si>
    <t>4=2/1</t>
  </si>
  <si>
    <t>TỔNG NGUỒN THU NSĐP</t>
  </si>
  <si>
    <t>Thu NSĐP được hưởng theo phân cấp</t>
  </si>
  <si>
    <t>-</t>
  </si>
  <si>
    <t>Thu NSĐP hưởng 100%</t>
  </si>
  <si>
    <t>Thu NSĐP hưởng từ các khoản thu phân chia</t>
  </si>
  <si>
    <t>Thu bổ sung cân đối ngân sách</t>
  </si>
  <si>
    <t>Thu bổ sung có mục tiêu</t>
  </si>
  <si>
    <t>Thu kết dư</t>
  </si>
  <si>
    <t>Thu chuyển nguồn từ năm trước chuyển sang</t>
  </si>
  <si>
    <t>TỔNG CHI NSĐP</t>
  </si>
  <si>
    <t>Tổng chi cân đối NSĐP</t>
  </si>
  <si>
    <t xml:space="preserve">Chi đầu tư phát triển </t>
  </si>
  <si>
    <t xml:space="preserve">Chi bổ sung quỹ dự trữ tài chính </t>
  </si>
  <si>
    <t>BỘI CHI NSĐP/BỘI THU NSĐP/KẾT DƯ NSĐP</t>
  </si>
  <si>
    <t xml:space="preserve">CHI TRẢ NỢ GỐC CỦA NSĐP </t>
  </si>
  <si>
    <t>Từ nguồn vay để trả nợ gốc</t>
  </si>
  <si>
    <t>Từ nguồn bội thu, tăng thu, tiết kiệm chi, kết dư ngân sách cấp tỉnh</t>
  </si>
  <si>
    <t xml:space="preserve">TỔNG MỨC VAY CỦA NSĐP </t>
  </si>
  <si>
    <t>Vay để bù đắp bội chi</t>
  </si>
  <si>
    <t>Vay để trả nợ gốc</t>
  </si>
  <si>
    <t>TỔNG MỨC DƯ NỢ VAY  CUỐI NĂM CỦA NSĐP</t>
  </si>
  <si>
    <t>Biểu mẫu số 50</t>
  </si>
  <si>
    <t>Dự toán</t>
  </si>
  <si>
    <t>Quyết toán</t>
  </si>
  <si>
    <t>So sánh (%)</t>
  </si>
  <si>
    <t>TỔNG NGUỒN THU NSNN (A+B+C+D)</t>
  </si>
  <si>
    <t>Thu nội địa</t>
  </si>
  <si>
    <t>Biểu mẫu số 51</t>
  </si>
  <si>
    <t>3=2/1</t>
  </si>
  <si>
    <t xml:space="preserve">TỔNG CHI NGÂN SÁCH ĐỊA PHƯƠNG </t>
  </si>
  <si>
    <t>CHI CÂN ĐỐI NGÂN SÁCH ĐỊA PHƯƠNG</t>
  </si>
  <si>
    <t>Trong đó:</t>
  </si>
  <si>
    <t xml:space="preserve">  Chi giáo dục - đào tạo và dạy nghề</t>
  </si>
  <si>
    <t xml:space="preserve">  Chi khoa học và công nghệ </t>
  </si>
  <si>
    <t xml:space="preserve">CHI CHUYỂN NGUỒN SANG NĂM SAU </t>
  </si>
  <si>
    <t>Biểu mẫu số 52</t>
  </si>
  <si>
    <t>CHI NGÂN SÁCH CẤP TỈNH (HUYỆN, XÃ) THEO LĨNH VỰC</t>
  </si>
  <si>
    <t>Chi bổ sung quỹ dự trữ tài chính (2)</t>
  </si>
  <si>
    <t>Vốn trong nước</t>
  </si>
  <si>
    <t>Vốn ngoài nước</t>
  </si>
  <si>
    <t>Biểu mẫu số 53</t>
  </si>
  <si>
    <t xml:space="preserve">Dự toán </t>
  </si>
  <si>
    <t>Bao gồm</t>
  </si>
  <si>
    <t>1=2+3</t>
  </si>
  <si>
    <t>4=5+6</t>
  </si>
  <si>
    <t>7=4/1</t>
  </si>
  <si>
    <t>8=5/2</t>
  </si>
  <si>
    <t>9=6/3</t>
  </si>
  <si>
    <t>CHI CÂN ĐỐI NSĐP</t>
  </si>
  <si>
    <t>S
T
T</t>
  </si>
  <si>
    <r>
      <t>Chi đầu tư phát triển</t>
    </r>
    <r>
      <rPr>
        <sz val="14"/>
        <rFont val="Times New Roman"/>
        <family val="1"/>
      </rPr>
      <t xml:space="preserve"> (Không kể chương trình MTQG)</t>
    </r>
  </si>
  <si>
    <r>
      <t>Chi thường xuyên</t>
    </r>
    <r>
      <rPr>
        <sz val="14"/>
        <rFont val="Times New Roman"/>
        <family val="1"/>
      </rPr>
      <t xml:space="preserve"> (Không kể chương trình MTQG)</t>
    </r>
  </si>
  <si>
    <t>Chi trả nợ lãi do chính quyền địa phương vay (2)</t>
  </si>
  <si>
    <t>Chi chương trình MTQG</t>
  </si>
  <si>
    <t>Chi chuyển nguồn sang ngân sách năm sau</t>
  </si>
  <si>
    <t>Tên đơn vị</t>
  </si>
  <si>
    <t>TỔNG SỐ</t>
  </si>
  <si>
    <t>Biểu mẫu số 58</t>
  </si>
  <si>
    <t>Chi CTMTQG</t>
  </si>
  <si>
    <t>Trong đó</t>
  </si>
  <si>
    <t>Biểu mẫu số 59</t>
  </si>
  <si>
    <t>S  
T
 T</t>
  </si>
  <si>
    <t>Tên đơn vị (1)</t>
  </si>
  <si>
    <t>Bổ  sung cân đối ngân sách</t>
  </si>
  <si>
    <t>Gồm</t>
  </si>
  <si>
    <t>Vốn đầu tư để thực hiện các CTMT, nhiệm vụ</t>
  </si>
  <si>
    <t>Vốn sự nghiệp thực hiện các chế độ, chính sách</t>
  </si>
  <si>
    <t>Vốn thực hiện các CTMT quốc gia</t>
  </si>
  <si>
    <t>3=4+5</t>
  </si>
  <si>
    <t>11=12+13</t>
  </si>
  <si>
    <t>17=9/1</t>
  </si>
  <si>
    <t>18=10/2</t>
  </si>
  <si>
    <t>19=11/3</t>
  </si>
  <si>
    <t>20=12/4</t>
  </si>
  <si>
    <t>21=13/5</t>
  </si>
  <si>
    <t>22=14/6</t>
  </si>
  <si>
    <t>23=15/7</t>
  </si>
  <si>
    <t>24=16/8</t>
  </si>
  <si>
    <t>Đầu tư phát triển</t>
  </si>
  <si>
    <t>Kinh phí sự nghiệp</t>
  </si>
  <si>
    <t>Thu nội địa ngân sách</t>
  </si>
  <si>
    <t>THU CÂN ĐỐI NGÂN SÁCH</t>
  </si>
  <si>
    <t xml:space="preserve">THU CÂN ĐỐI NGÂN SÁCH </t>
  </si>
  <si>
    <t>Bộ Tài chính giao</t>
  </si>
  <si>
    <t>HĐND tỉnh điều chỉnh</t>
  </si>
  <si>
    <t>Dự toán giao trong năm</t>
  </si>
  <si>
    <t>Tổng thu
NSNN</t>
  </si>
  <si>
    <t>Thu 
NSĐP</t>
  </si>
  <si>
    <t>7=5/1</t>
  </si>
  <si>
    <t>8=6/2</t>
  </si>
  <si>
    <t>9=5/3</t>
  </si>
  <si>
    <t>10=6/4</t>
  </si>
  <si>
    <t>Thu ủng hộ từ TP.HCM</t>
  </si>
  <si>
    <t>So sánh 
(%)</t>
  </si>
  <si>
    <t>CHI BỔ SUNG CÂN ĐỐI CHO NGÂN SÁCH CẤP DƯỚI</t>
  </si>
  <si>
    <t>So sánh (5)</t>
  </si>
  <si>
    <t>Thành phố Đồng Xoài</t>
  </si>
  <si>
    <t>Thị xã Bình Long</t>
  </si>
  <si>
    <t>Thị xã Phước Long</t>
  </si>
  <si>
    <t>Huyện Đồng Phú</t>
  </si>
  <si>
    <t>Huyện Chơn Thành</t>
  </si>
  <si>
    <t>Huyện Hớn Quản</t>
  </si>
  <si>
    <t>Huyện Lộc Ninh</t>
  </si>
  <si>
    <t>Huyện Bù Đốp</t>
  </si>
  <si>
    <t>Huyện Bù Đăng</t>
  </si>
  <si>
    <t>Huyện Bù Gia Mập</t>
  </si>
  <si>
    <t>Huyện Phú Riềng</t>
  </si>
  <si>
    <t>Chi giáo dục và đào tạo</t>
  </si>
  <si>
    <t>Chi khoa học công nghệ</t>
  </si>
  <si>
    <t>Chi 
CTMTQG</t>
  </si>
  <si>
    <t>Chương trình mục tiêu quốc gia giảm nghèo bền vững</t>
  </si>
  <si>
    <t>Chương trình mục tiêu quốc gia xây dựng nông thôn mới</t>
  </si>
  <si>
    <t>Ngân sách huyện, thị xã, thành phố</t>
  </si>
  <si>
    <t>Ngân sách cấp tỉnh</t>
  </si>
  <si>
    <t>Sở Thông tin và Truyền thông</t>
  </si>
  <si>
    <t>Sở Nông nghiệp và Phát triển nông thôn</t>
  </si>
  <si>
    <t>Ban Dân tộc</t>
  </si>
  <si>
    <t>Đơn vị</t>
  </si>
  <si>
    <t>Sở Tư pháp</t>
  </si>
  <si>
    <t>Sở Nội vụ</t>
  </si>
  <si>
    <t>Ngân sách địa phương</t>
  </si>
  <si>
    <t>QUYẾT TOÁN CHI NGÂN SÁCH ĐỊA PHƯƠNG, CHI NGÂN SÁCH CẤP TỈNH</t>
  </si>
  <si>
    <t>Chi trả nợ gốc vay theo quy định</t>
  </si>
  <si>
    <t>Tổng số (A+B)</t>
  </si>
  <si>
    <t>(Ban hành kèm theo Thông tư số 342/2016/TT-BTC ngày 30/12/2016 của Bộ Tài chính)</t>
  </si>
  <si>
    <t>(Ban hành kèm theo Nghị định số 31/2017/NĐ-CP ngày 23/3/2017 của Chính phủ)</t>
  </si>
  <si>
    <t>Số chuyển nguồn ngân sách năm trước chuyển sang</t>
  </si>
  <si>
    <t>Chương trình MTQG</t>
  </si>
  <si>
    <t>1 = 2+3</t>
  </si>
  <si>
    <t>16=7/1</t>
  </si>
  <si>
    <t>17=8/4</t>
  </si>
  <si>
    <t>18=(9+15)/(2+5)</t>
  </si>
  <si>
    <t>19=12/6</t>
  </si>
  <si>
    <t>Chi sự nghiệp Kinh tế</t>
  </si>
  <si>
    <t>I.1</t>
  </si>
  <si>
    <t>Sự nghiệp lâm nghiệp</t>
  </si>
  <si>
    <t>Chi cục Kiểm Lâm</t>
  </si>
  <si>
    <t>I.2</t>
  </si>
  <si>
    <t>Sự nghiệp Nông nghiệp-Thuỷ lợi</t>
  </si>
  <si>
    <t>Sở Nông nghiệp và PTNT</t>
  </si>
  <si>
    <t>Chi cục Thủy lợi</t>
  </si>
  <si>
    <t>BQL Rừng phòng hộ Đăk Mai</t>
  </si>
  <si>
    <t>BQL Rừng phòng hộ Bù Đốp</t>
  </si>
  <si>
    <t>Trung tâm dịch vụ nông nghiệp</t>
  </si>
  <si>
    <t>Văn phòng điều phối CTMT QG xây dựng nông thôn mới</t>
  </si>
  <si>
    <t>I.3</t>
  </si>
  <si>
    <t>Sự nghiệp giao thông</t>
  </si>
  <si>
    <t>Khu quản lý bảo trì đường bộ</t>
  </si>
  <si>
    <t>I.4</t>
  </si>
  <si>
    <t xml:space="preserve">Chi sự nghiệp tài nguyên </t>
  </si>
  <si>
    <t>Sở Tài nguyên và Môi trường (SN tài nguyên)</t>
  </si>
  <si>
    <t>I.5</t>
  </si>
  <si>
    <t>Sự nghiệp kinh tế khác</t>
  </si>
  <si>
    <t>Trung tâm công nghệ thông tin và truyền thông</t>
  </si>
  <si>
    <t>Thanh tra Sở Xây dựng</t>
  </si>
  <si>
    <t>Trung tâm xúc tiến đầu tư thương mại du lịch</t>
  </si>
  <si>
    <t>Trung tâm Khuyến công, TVPTCN</t>
  </si>
  <si>
    <t>Trung tâm trợ giúp pháp lý nhà nước</t>
  </si>
  <si>
    <t>Trung tâm khai thác hạ tầng khu công nghiệp</t>
  </si>
  <si>
    <t>Vườn Quốc Gia Bù Gia Mập</t>
  </si>
  <si>
    <t>Chi cục giám định xây dựng</t>
  </si>
  <si>
    <t>Trung tâm hành chính công</t>
  </si>
  <si>
    <t>Ban quản lý cửa khẩu Hoàng Diệu</t>
  </si>
  <si>
    <t>Ban quản lý cửa khẩu Lộc Thịnh</t>
  </si>
  <si>
    <t>Trạm kiểm tra tải trọng xe lưu động</t>
  </si>
  <si>
    <t>Chi sự nghiệp Giáo dục-Đào tạo</t>
  </si>
  <si>
    <t>Sự nghiệp Giáo dục</t>
  </si>
  <si>
    <t>Sự nghiệp Đào tạo</t>
  </si>
  <si>
    <t>Sự nghiệp Y tế</t>
  </si>
  <si>
    <t>Sở Y tế</t>
  </si>
  <si>
    <t>Chi Cục ATVSTP</t>
  </si>
  <si>
    <t>Chi Cục Dân số KHHGĐ</t>
  </si>
  <si>
    <t>Trung Tâm KSBT</t>
  </si>
  <si>
    <t>Trung Tâm KN DP MP</t>
  </si>
  <si>
    <t>Trung Tâm Pháp Y</t>
  </si>
  <si>
    <t>Bệnh viện Y học cổ truyền</t>
  </si>
  <si>
    <t>Bệnh viện tỉnh</t>
  </si>
  <si>
    <t>Sự nghiệp Khoa học và công nghệ</t>
  </si>
  <si>
    <t>Sở Khoa học và Công nghệ</t>
  </si>
  <si>
    <t>Sự nghiệp Văn hoá  Du lịch Thể Thao</t>
  </si>
  <si>
    <t>Thư viện tỉnh</t>
  </si>
  <si>
    <t>Trung tâm văn hóa</t>
  </si>
  <si>
    <t>Trung tâm Huấn luyện và thi đấu TDTT</t>
  </si>
  <si>
    <t>Đảm bảo xã hội</t>
  </si>
  <si>
    <t>Sở LĐTB&amp;XH (đảm bảo xã hội)</t>
  </si>
  <si>
    <t>Quản lý hành chính</t>
  </si>
  <si>
    <t>Quản lý Nhà nước</t>
  </si>
  <si>
    <t>Liên minh Hợp tác xã tỉnh Bình Phước</t>
  </si>
  <si>
    <t>Sở Công Thương</t>
  </si>
  <si>
    <t>Sở Kế hoạch và Đầu tư</t>
  </si>
  <si>
    <t>Sở Lao động, TB&amp;XH</t>
  </si>
  <si>
    <t>Sở Nông nghiệp-Phát triển nông thôn</t>
  </si>
  <si>
    <t>Sở Tài chính</t>
  </si>
  <si>
    <t>Sở Tài nguyên và Môi trường</t>
  </si>
  <si>
    <t>Sở Xây dựng</t>
  </si>
  <si>
    <t>Thanh tra Nhà nước</t>
  </si>
  <si>
    <t xml:space="preserve">Văn phòng Hội đồng nhân dân </t>
  </si>
  <si>
    <t xml:space="preserve">Văn phòng Uỷ ban nhân dân </t>
  </si>
  <si>
    <t>Ban Quản lý Khu kinh tế</t>
  </si>
  <si>
    <t>Sở Ngoại vụ</t>
  </si>
  <si>
    <t>Hỗ trợ ngân sách Đảng</t>
  </si>
  <si>
    <t>Kinh phí các hội, đoàn thể</t>
  </si>
  <si>
    <t xml:space="preserve">Ủy ban MTTQVN tỉnh </t>
  </si>
  <si>
    <t>Trung tâm dạy nghề và hỗ trợ nông dân</t>
  </si>
  <si>
    <t>Trung tâm hoạt động thanh thiếu nhi</t>
  </si>
  <si>
    <t>Hỗ trợ các tổ chức xã hội</t>
  </si>
  <si>
    <t>Hội Nhà báo tỉnh Bình Phước</t>
  </si>
  <si>
    <t>Hội Chữ thập đỏ tỉnh Bình Phước</t>
  </si>
  <si>
    <t>Hội Khuyến học tỉnh Bình Phước</t>
  </si>
  <si>
    <t>Hội Luật gia tỉnh Bình Phước</t>
  </si>
  <si>
    <t>Hội Cựu Thanh niên xung phong  tỉnh Bình Phước</t>
  </si>
  <si>
    <t>Hội Đông y tỉnh Bình Phước</t>
  </si>
  <si>
    <t>Liên hiệp các hội hữu nghị tỉnh</t>
  </si>
  <si>
    <t>Hội Văn học Nghệ thuật tỉnh Bình Phước</t>
  </si>
  <si>
    <t>Biểu mẫu số 54-01</t>
  </si>
  <si>
    <t>Sự nghiệp môi trường</t>
  </si>
  <si>
    <t>Ban Bảo vệ chăm sóc sức khỏe cán bộ tỉnh</t>
  </si>
  <si>
    <t>Đài Phát thanh - Truyền hình và Báo Bình Phước</t>
  </si>
  <si>
    <t>Hội Người mù tỉnh Bình Phước</t>
  </si>
  <si>
    <t>Hội Người cao tuổi  tỉnh Bình Phước</t>
  </si>
  <si>
    <t>CÁC CƠ QUAN, TỔ CHỨC</t>
  </si>
  <si>
    <t>THU ỦNG HỘ TỪ TP.HCM</t>
  </si>
  <si>
    <t>Thu vay của ngân sách địa phương</t>
  </si>
  <si>
    <t>Thu vay của chính quyền địa phương</t>
  </si>
  <si>
    <t xml:space="preserve">      </t>
  </si>
  <si>
    <t>Sở Giáo dục và Đào tạo</t>
  </si>
  <si>
    <t>Đơn vị tính: triệu đồng</t>
  </si>
  <si>
    <t>Sự nghiệp giao thông, quỹ bảo trì đường bộ (Sở Giao thông Vận tải)</t>
  </si>
  <si>
    <t>Ban Chỉ đạo Phân giới cắm mốc biên giới đất liền Việt Nam - Campuchia</t>
  </si>
  <si>
    <t>III.1</t>
  </si>
  <si>
    <t>III.2</t>
  </si>
  <si>
    <t xml:space="preserve">Sở Văn hóa ,Thể thao - Du lịch </t>
  </si>
  <si>
    <t>Bảo tàng tỉnh</t>
  </si>
  <si>
    <t>Đoàn Ca múa nhạc dân tộc</t>
  </si>
  <si>
    <t>Sự nghiệp Phát thanh và Truyền hình</t>
  </si>
  <si>
    <t>Cơ sở cai nghiện ma túy</t>
  </si>
  <si>
    <t>Trung tâm Bảo trợ xã hội</t>
  </si>
  <si>
    <t>Trung tâm Dịch vụ việc làm Bình Phước</t>
  </si>
  <si>
    <t>XI.1</t>
  </si>
  <si>
    <t>Sở Giao thông vận tải</t>
  </si>
  <si>
    <t>Sở Văn hóa, Thể thao và Du lịch</t>
  </si>
  <si>
    <t>IX.2</t>
  </si>
  <si>
    <t>IX.3</t>
  </si>
  <si>
    <t>IX.4</t>
  </si>
  <si>
    <t>Hội Bảo trợ người khuyết tật, trẻ mồ côi và bệnh nhân nghèo</t>
  </si>
  <si>
    <t>Ban Vì sự tiến bộ phụ nữ</t>
  </si>
  <si>
    <t>Văn phòng Điều phối CT MTQG xây dựng NTM</t>
  </si>
  <si>
    <t>Mặt trận Tổ quốc Việt Nam tỉnh</t>
  </si>
  <si>
    <t>Liên minh Hợp tác xã</t>
  </si>
  <si>
    <t>Chi từ nguồn bổ sung  có mục tiêu từ NS cấp trên</t>
  </si>
  <si>
    <t>Thuế nổ sung đối với hàng hóa nhập khẩu vào Việt Nam</t>
  </si>
  <si>
    <t>Chi cục Chăn nuôi Thú y</t>
  </si>
  <si>
    <t>Ban quản lý cửa khẩu quốc tế Hoa Lư</t>
  </si>
  <si>
    <t>Sở Giáo dục đào tạo và 37 đơn vị trực thuộc</t>
  </si>
  <si>
    <t>Trường Cao đẳng Bình Phước</t>
  </si>
  <si>
    <t>Hội Nạn nhân chất độc da cam/Dioxin tỉnh</t>
  </si>
  <si>
    <t>Liên hiệp các hội khoa học và kỹ thuật</t>
  </si>
  <si>
    <t xml:space="preserve">Phụ biểu 03.8/KHTC-NSĐP </t>
  </si>
  <si>
    <t>16=10/1</t>
  </si>
  <si>
    <t>17=11/2</t>
  </si>
  <si>
    <t>18=12/3</t>
  </si>
  <si>
    <t>19=7/1</t>
  </si>
  <si>
    <t>20=8/2</t>
  </si>
  <si>
    <t>21=14/4</t>
  </si>
  <si>
    <t>Biểu mẫu số 54</t>
  </si>
  <si>
    <t>Chi đầu tư phát triển (Không kể chương trình MTQG)</t>
  </si>
  <si>
    <t>…</t>
  </si>
  <si>
    <t>13=4/1</t>
  </si>
  <si>
    <t>14=5/2</t>
  </si>
  <si>
    <t>Bộ chỉ huy quân sự tỉnh</t>
  </si>
  <si>
    <t xml:space="preserve">Ban QLDA ĐTXD Tỉnh </t>
  </si>
  <si>
    <t xml:space="preserve">Công an tỉnh </t>
  </si>
  <si>
    <t>Văn phòng điều phối Chương trình NTM</t>
  </si>
  <si>
    <t>Sở Kế hoạch &amp; Đầu tư</t>
  </si>
  <si>
    <t xml:space="preserve">Sở Xây dựng </t>
  </si>
  <si>
    <t xml:space="preserve">Sở GTVT </t>
  </si>
  <si>
    <t>Sở Lao động, Thương binh và Xã hội</t>
  </si>
  <si>
    <t xml:space="preserve">Sở Thông tin và Truyền Thông </t>
  </si>
  <si>
    <t>Đài Phát thanh - Truyền hình</t>
  </si>
  <si>
    <t>Liên minh hợp tác xã</t>
  </si>
  <si>
    <t>UBND Thành phố Đồng Xoài</t>
  </si>
  <si>
    <t>UBND Thị xã Bình Long</t>
  </si>
  <si>
    <t>UBND Thị xã Phước Long</t>
  </si>
  <si>
    <t>UBND Huyện Đồng Phú</t>
  </si>
  <si>
    <t xml:space="preserve">UBND Huyện Lộc Ninh </t>
  </si>
  <si>
    <t>UBND Huyện Bù Đốp</t>
  </si>
  <si>
    <t>UBND Huyện Bù Đăng</t>
  </si>
  <si>
    <t>UBND Huyện Chơn Thành</t>
  </si>
  <si>
    <t xml:space="preserve">UBND Huyện Hớn Quản </t>
  </si>
  <si>
    <t xml:space="preserve">UBND Huyện Bù Gia Mập </t>
  </si>
  <si>
    <t>UBND Huyện Phú Riềng</t>
  </si>
  <si>
    <t>QUYẾT TOÁN THU, VAY NSNN NĂM 2022</t>
  </si>
  <si>
    <t>CÂN ĐỐI QUYẾT TOÁN NGÂN SÁCH ĐỊA PHƯƠNG NĂM 2022</t>
  </si>
  <si>
    <t>QUYẾT TOÁN CHI NGÂN SÁCH ĐỊA PHƯƠNG NĂM 2022</t>
  </si>
  <si>
    <t xml:space="preserve">toán năm </t>
  </si>
  <si>
    <t>QUYẾT TOÁN CÂN ĐỐI NGÂN SÁCH ĐỊA PHƯƠNG NĂM 2022</t>
  </si>
  <si>
    <t>QUYẾT TOÁN NGUỒN THU NGÂN SÁCH NHÀ NƯỚC TRÊN ĐỊA BÀN THEO LĨNH VỰC NĂM 2022</t>
  </si>
  <si>
    <t>QUYẾT TOÁN CHI NGÂN SÁCH ĐỊA PHƯƠNG THEO LĨNH VỰC  NĂM 2022</t>
  </si>
  <si>
    <t>QUYẾT TOÁN CHI NGÂN SÁCH CẤP TỈNH (HUYỆN, XÃ) THEO LĨNH VỰC NĂM 2022</t>
  </si>
  <si>
    <t>VÀ CHI NGÂN SÁCH HUYỆN, THỊ XÃ, THÀNH PHỐ THEO CƠ CẤU CHI NĂM 2022</t>
  </si>
  <si>
    <t>QUYẾT TOÁN CHI ĐẦU TƯ NGÂN SÁCH CẤP TỈNH (HUYỆN, XÃ) CHO TỪNG CƠ QUAN, TỔ CHỨC THEO LĨNH VỰC NĂM 2022</t>
  </si>
  <si>
    <t>QUYẾT TOÁN CHI NGÂN SÁCH CẤP TỈNH CHO TỪNG CƠ QUAN, TỔ CHỨC THEO LĨNH VỰC NĂM 2022</t>
  </si>
  <si>
    <t>QUYẾT TOÁN CHI BỔ SUNG TỪ NGÂN SÁCH CẤP TỈNH CHO NGÂN SÁCH TỪNG HUYỆN, THỊ XÃ, THÀNH PHỐ NĂM 2022</t>
  </si>
  <si>
    <t>QUYẾT TOÁN CHI NGÂN SÁCH ĐỊA PHƯƠNG TỪNG HUYỆN, THỊ XÃ, THÀNH PHỐ NĂM 2022</t>
  </si>
  <si>
    <t>QUYẾT TOÁN CHI CHƯƠNG TRÌNH MỤC TIÊU QUỐC GIA NĂM 2022</t>
  </si>
  <si>
    <t>Chi bảo vệ môi trường</t>
  </si>
  <si>
    <t>CĐ</t>
  </si>
  <si>
    <t>TM</t>
  </si>
  <si>
    <t>2.11</t>
  </si>
  <si>
    <t>2.12</t>
  </si>
  <si>
    <t>Chương trình mục tiêu quốc gia PTĐBDTTS</t>
  </si>
  <si>
    <t>Chi thực hiện CCTL</t>
  </si>
  <si>
    <t>Chi các nhiệm vụ từ tăng thu cân đối</t>
  </si>
  <si>
    <t>Chi dự phòng</t>
  </si>
  <si>
    <r>
      <t>Chi đầu tư phát triển</t>
    </r>
    <r>
      <rPr>
        <sz val="14"/>
        <rFont val="Times New Roman"/>
        <family val="1"/>
      </rPr>
      <t xml:space="preserve"> </t>
    </r>
  </si>
  <si>
    <t>Chi trả nợ gốc</t>
  </si>
  <si>
    <t>Chi trả lãi vay</t>
  </si>
  <si>
    <t>1. Chi trả nợ gốc</t>
  </si>
  <si>
    <t>2. Chi trả lãi vay</t>
  </si>
  <si>
    <t>Chi trả nợ gốc, lãi vay</t>
  </si>
  <si>
    <t>Chi trả nợ gốc vay</t>
  </si>
  <si>
    <t>CHI TRẢ NỢ GỐC, LÃI VAY</t>
  </si>
  <si>
    <t>Chi chuyển nguồn sang ngân sách năm sau (không bao gồm chương trình MTQG)</t>
  </si>
  <si>
    <t>Sự nghiệp giao thông, quỹ bảo trì đường bộ (Văn phòng Sở Giao thông Vận tải</t>
  </si>
  <si>
    <t>Ban Quản lý Khu nông nghiệp ứng dụng công nghệ cao</t>
  </si>
  <si>
    <t>Ban an toàn giao thông tỉnh</t>
  </si>
  <si>
    <t>Ban ATGT Công an TP Đồng Xoài</t>
  </si>
  <si>
    <t>Ban ATGT Công an thị xã Bình Long</t>
  </si>
  <si>
    <t>Ban ATGT Công an thị xã Phước Long</t>
  </si>
  <si>
    <t>Ban ATGT Công an huyện Đồng Phú</t>
  </si>
  <si>
    <t>Ban ATGT Công an huyện Chơn Thành</t>
  </si>
  <si>
    <t>Ban ATGT Công an huyện Hớn Quản</t>
  </si>
  <si>
    <t>Ban ATGT Công an  huyện Lộc Ninh</t>
  </si>
  <si>
    <t>Ban ATGT Công an huyện Bù Đốp</t>
  </si>
  <si>
    <t>Ban ATGT Công an huyện Bù Gia Mập</t>
  </si>
  <si>
    <t>Ban ATGT Công an huyện Bù Đăng</t>
  </si>
  <si>
    <t>Ban ATGT Công an huyện Phú Riềng</t>
  </si>
  <si>
    <t>Trường Chính trị tỉnh</t>
  </si>
  <si>
    <t>Ban QLDA Rai3e</t>
  </si>
  <si>
    <t>Văn phòng Sở Giao thông vận tải</t>
  </si>
  <si>
    <t>Trung tâm đăng kiểm 93.01S</t>
  </si>
  <si>
    <t>Sở Ngoại vụ (Ban Chỉ đạo Công tác biên giới)</t>
  </si>
  <si>
    <t>An ninh - Quốc phòng</t>
  </si>
  <si>
    <t>Công an tỉnh</t>
  </si>
  <si>
    <t>Bộ đội biên phòng</t>
  </si>
  <si>
    <t>Bộ Chỉ huy quân sự tỉnh</t>
  </si>
  <si>
    <t>Sở Lao động Thương binh và Xã hội</t>
  </si>
  <si>
    <t>Sở văn hóa thể thao và Du lịch</t>
  </si>
  <si>
    <t>Sở Khoa học công nghệ</t>
  </si>
  <si>
    <t>Hội Nông dân</t>
  </si>
  <si>
    <t>Tỉnh đoàn</t>
  </si>
  <si>
    <t xml:space="preserve">Hội liên hiệp phụ nữ tỉnh </t>
  </si>
  <si>
    <t>Cục Thống kê tỉnh</t>
  </si>
  <si>
    <r>
      <t>Chi đầu tư phát triển</t>
    </r>
    <r>
      <rPr>
        <sz val="12"/>
        <rFont val="Times New Roman"/>
        <family val="1"/>
      </rPr>
      <t xml:space="preserve"> (Không kể chương trình MTQG)</t>
    </r>
  </si>
  <si>
    <t xml:space="preserve">Cấp huyện </t>
  </si>
  <si>
    <r>
      <t>Chi đầu tư phát triển</t>
    </r>
    <r>
      <rPr>
        <sz val="12"/>
        <rFont val="Times New Roman"/>
        <family val="1"/>
      </rPr>
      <t xml:space="preserve">  (Chương trình MTQG)</t>
    </r>
  </si>
  <si>
    <r>
      <t>Chi thường xuyên</t>
    </r>
    <r>
      <rPr>
        <sz val="12"/>
        <rFont val="Times New Roman"/>
        <family val="1"/>
      </rPr>
      <t xml:space="preserve"> (Không kể chương trình MTQG)</t>
    </r>
  </si>
  <si>
    <t xml:space="preserve">Sở Tài chính </t>
  </si>
  <si>
    <t xml:space="preserve">Bộ Chỉ huy Bộ đội biên phòng tỉnh </t>
  </si>
  <si>
    <t>Ban quản lý Khu kinh tế</t>
  </si>
  <si>
    <t xml:space="preserve">Sở Văn hoá Thể thao và Du lịch </t>
  </si>
  <si>
    <t xml:space="preserve">Ban Dân tộc </t>
  </si>
  <si>
    <t xml:space="preserve">Tỉnh đoàn </t>
  </si>
  <si>
    <t xml:space="preserve">Chi cục kiểm lâm </t>
  </si>
  <si>
    <t>Các dự án không ghi kế hoạch năm 2022 còn dư vốn tạm ứng chưa thu hồi từ các năm trước chuyển sang năm quyết toán</t>
  </si>
  <si>
    <t>Biểu số 01</t>
  </si>
  <si>
    <t>TÌNH HÌNH THỰC HIỆN CÁC KIẾN NGHỊ CỦA KIỂM TOÁN NHÀ NƯỚC NĂM 2021</t>
  </si>
  <si>
    <t>Đơn vị tính: đồng</t>
  </si>
  <si>
    <t>TT</t>
  </si>
  <si>
    <t>Chỉ tiêu</t>
  </si>
  <si>
    <t>Số KTNN kiến nghị</t>
  </si>
  <si>
    <t xml:space="preserve"> Số thực hiện của đơn vị </t>
  </si>
  <si>
    <t xml:space="preserve"> Số chưa thực hiện đến 31/5/2023</t>
  </si>
  <si>
    <t>Tỷ lệ (%)</t>
  </si>
  <si>
    <t>TỒNG CỘNG</t>
  </si>
  <si>
    <t>Các khoản tăng thu</t>
  </si>
  <si>
    <t>GTGT</t>
  </si>
  <si>
    <t>TNDN</t>
  </si>
  <si>
    <t>Thuế Tài nguyên</t>
  </si>
  <si>
    <t>TNCN</t>
  </si>
  <si>
    <t>Giảm khấu trừ thuế GTGT</t>
  </si>
  <si>
    <t>Các khoản giảm chi</t>
  </si>
  <si>
    <t>Giảm chi thường xuyên</t>
  </si>
  <si>
    <t>Thu hồi nộp NSNN các khoản chi sai quy định</t>
  </si>
  <si>
    <t>Thu hồi kinh phí thừa</t>
  </si>
  <si>
    <t>Giảm dự toán, giảm thanh toán năm sau</t>
  </si>
  <si>
    <t>Thu hồi, nộp khác</t>
  </si>
  <si>
    <t>Giảm chi đầu tư xây dựng</t>
  </si>
  <si>
    <t>Giảm dự toán, giảm thanh toán năm sau, cấp phát năm sau</t>
  </si>
  <si>
    <t>Mẫu biểu số 70</t>
  </si>
  <si>
    <t>BÁO CÁO CHI CHUYỂN NGUỒN NĂM 2022 SANG NĂM SAU NĂM 2023</t>
  </si>
  <si>
    <t>Năm trước (năm liền kề)</t>
  </si>
  <si>
    <t>Năm báo cáo</t>
  </si>
  <si>
    <t>Năm báo cáo so với năm liền kề</t>
  </si>
  <si>
    <t>Số tuyệt đối</t>
  </si>
  <si>
    <t>Số tương đối</t>
  </si>
  <si>
    <t>4=3/1</t>
  </si>
  <si>
    <t>Chi đầu tư phát triển thực hiện chuyển sang năm sau theo quy định của Luật đầu tư công. Trường hợp đặc biệt, Thủ tướng Chính phủ quyết định về việc cho phép chuyển nguồn sang năm sau nữa, nhưng không quá thời hạn giải ngân của dự án nằm trong kế hoạch đầu tư công trung hạn</t>
  </si>
  <si>
    <t>Chi mua sắm trang thiết bị đã đầy đủ hồ sơ, hợp đồng mua sắm trang thiết bị ký bước ngày 31 tháng 12 năm thực hiện dự toán</t>
  </si>
  <si>
    <t>Nguồn thực hiện chính sách tiền lương, phụ cấp, trợ cấp và các khoản tính theo tiền lương cơ sở, bảo trợ xã hội</t>
  </si>
  <si>
    <t>Kinh phí được giao tự chủ của các đơn vị sự nghiệp công lập và các cơ quan nhà nước; các khoản viện trợ không hoàn lại đã xác định cụ thể nhiệm vụ chi</t>
  </si>
  <si>
    <t>Các khoản dự toán được cấp có thẩm quyền bổ sung sau ngày 30 tháng 9 năm thực hiện dự toán, không bao gồm các khoản bổ sung do các đơn vị dự toán cấp trên điều chỉnh dự toán đã giao của các đơn vị dự toán trực thuộc</t>
  </si>
  <si>
    <t>Kinh phí nghiên cứu khoa học bố trí cho các đề tài, dự án nghiên cứu khoa học được cấp có thẩm quyền quyết định đang trong thời gian thực hiện</t>
  </si>
  <si>
    <t>Các khoản tăng thu, tiết kiệm chi được sử dụng theo quy định tại khoản 2 Điều 59 của Luật ngân sách nhà nước được cấp có thẩm quyền quyết định cho phép sử dụng vào năm sau</t>
  </si>
  <si>
    <t>Các nhiệm vụ chi khác</t>
  </si>
  <si>
    <t>Tổng cộng</t>
  </si>
  <si>
    <t>HỘI NHÂN DÂN TỈNH BÌNH PHƯỚC</t>
  </si>
  <si>
    <t>(Kèm theo Nghị quyết số:         /NQ-HĐND ngày      tháng  12  năm 2023 của Hội đồng nhân dân tỉnh)</t>
  </si>
  <si>
    <t>Ghi chú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</si>
</sst>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4">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
    <numFmt numFmtId="166" formatCode="&quot;$&quot;#,##0;\-&quot;$&quot;#,##0"/>
    <numFmt numFmtId="167" formatCode="#,###;\-#,###;&quot;&quot;;_(@_)"/>
    <numFmt numFmtId="168" formatCode="_-* #,##0_-;\-* #,##0_-;_-* &quot;-&quot;??_-;_-@_-"/>
    <numFmt numFmtId="169" formatCode="_-&quot;€&quot;* #,##0_-;\-&quot;€&quot;* #,##0_-;_-&quot;€&quot;* &quot;-&quot;_-;_-@_-"/>
    <numFmt numFmtId="170" formatCode="&quot;\&quot;#,##0.00;[Red]&quot;\&quot;&quot;\&quot;&quot;\&quot;&quot;\&quot;&quot;\&quot;&quot;\&quot;\-#,##0.00"/>
    <numFmt numFmtId="171" formatCode="&quot;\&quot;#,##0;[Red]&quot;\&quot;&quot;\&quot;\-#,##0"/>
    <numFmt numFmtId="172" formatCode="_-* #,##0_-;\-* #,##0_-;_-* &quot;-&quot;_-;_-@_-"/>
    <numFmt numFmtId="173" formatCode="_-* #,##0.00_-;\-* #,##0.00_-;_-* &quot;-&quot;??_-;_-@_-"/>
    <numFmt numFmtId="174" formatCode="_-* #,##0\ &quot;€&quot;_-;\-* #,##0\ &quot;€&quot;_-;_-* &quot;-&quot;\ &quot;€&quot;_-;_-@_-"/>
    <numFmt numFmtId="175" formatCode="_-* #,##0\ _F_-;\-* #,##0\ _F_-;_-* &quot;-&quot;\ _F_-;_-@_-"/>
    <numFmt numFmtId="176" formatCode="_ &quot;\&quot;* #,##0_ ;_ &quot;\&quot;* \-#,##0_ ;_ &quot;\&quot;* &quot;-&quot;_ ;_ @_ "/>
    <numFmt numFmtId="177" formatCode="_ &quot;\&quot;* #,##0.00_ ;_ &quot;\&quot;* \-#,##0.00_ ;_ &quot;\&quot;* &quot;-&quot;??_ ;_ @_ "/>
    <numFmt numFmtId="178" formatCode="_ * #,##0_ ;_ * \-#,##0_ ;_ * &quot;-&quot;_ ;_ @_ "/>
    <numFmt numFmtId="179" formatCode="_ * #,##0.00_ ;_ * \-#,##0.00_ ;_ * &quot;-&quot;??_ ;_ @_ "/>
    <numFmt numFmtId="180" formatCode="0.000"/>
    <numFmt numFmtId="181" formatCode="#,##0.0_);\(#,##0.0\)"/>
    <numFmt numFmtId="182" formatCode="_(* #,##0.0000_);_(* \(#,##0.0000\);_(* &quot;-&quot;??_);_(@_)"/>
    <numFmt numFmtId="183" formatCode="0.0%;[Red]\(0.0%\)"/>
    <numFmt numFmtId="184" formatCode="_ * #,##0.00_)&quot;£&quot;_ ;_ * \(#,##0.00\)&quot;£&quot;_ ;_ * &quot;-&quot;??_)&quot;£&quot;_ ;_ @_ "/>
    <numFmt numFmtId="185" formatCode="_-&quot;$&quot;* #,##0.00_-;\-&quot;$&quot;* #,##0.00_-;_-&quot;$&quot;* &quot;-&quot;??_-;_-@_-"/>
    <numFmt numFmtId="186" formatCode="0.0%;\(0.0%\)"/>
    <numFmt numFmtId="187" formatCode="0.000_)"/>
    <numFmt numFmtId="188" formatCode="_-* #,##0.00\ _₫_-;\-* #,##0.00\ _₫_-;_-* &quot;-&quot;??\ _₫_-;_-@_-"/>
    <numFmt numFmtId="189" formatCode="&quot;C&quot;#,##0.00_);\(&quot;C&quot;#,##0.00\)"/>
    <numFmt numFmtId="190" formatCode="_ &quot;\&quot;* #,##0.00_ ;_ &quot;\&quot;* &quot;\&quot;&quot;\&quot;&quot;\&quot;&quot;\&quot;&quot;\&quot;&quot;\&quot;&quot;\&quot;&quot;\&quot;&quot;\&quot;\-#,##0.00_ ;_ &quot;\&quot;* &quot;-&quot;??_ ;_ @_ "/>
    <numFmt numFmtId="191" formatCode="&quot;C&quot;#,##0_);\(&quot;C&quot;#,##0\)"/>
    <numFmt numFmtId="192" formatCode="&quot;$&quot;\ \ \ \ #,##0_);\(&quot;$&quot;\ \ \ #,##0\)"/>
    <numFmt numFmtId="193" formatCode="&quot;$&quot;\ \ \ \ \ #,##0_);\(&quot;$&quot;\ \ \ \ \ #,##0\)"/>
    <numFmt numFmtId="194" formatCode="&quot;C&quot;#,##0_);[Red]\(&quot;C&quot;#,##0\)"/>
    <numFmt numFmtId="195" formatCode="_-* #,##0\ _₫_-;\-* #,##0\ _₫_-;_-* &quot;-&quot;\ _₫_-;_-@_-"/>
    <numFmt numFmtId="196" formatCode="#,##0_ ;[Red]\-#,##0\ "/>
    <numFmt numFmtId="197" formatCode="#,##0\ &quot;$&quot;_);[Red]\(#,##0\ &quot;$&quot;\)"/>
    <numFmt numFmtId="198" formatCode="&quot;$&quot;###,0&quot;.&quot;00_);[Red]\(&quot;$&quot;###,0&quot;.&quot;00\)"/>
    <numFmt numFmtId="199" formatCode="&quot;\&quot;#,##0;[Red]\-&quot;\&quot;#,##0"/>
    <numFmt numFmtId="200" formatCode="&quot;\&quot;#,##0.00;\-&quot;\&quot;#,##0.00"/>
    <numFmt numFmtId="201" formatCode="#,##0.000_);\(#,##0.000\)"/>
    <numFmt numFmtId="202" formatCode="#,##0.00\ &quot;F&quot;;[Red]\-#,##0.00\ &quot;F&quot;"/>
    <numFmt numFmtId="203" formatCode="#,##0\ &quot;F&quot;;\-#,##0\ &quot;F&quot;"/>
    <numFmt numFmtId="204" formatCode="#,##0\ &quot;F&quot;;[Red]\-#,##0\ &quot;F&quot;"/>
    <numFmt numFmtId="205" formatCode="_-* #,##0\ &quot;F&quot;_-;\-* #,##0\ &quot;F&quot;_-;_-* &quot;-&quot;\ &quot;F&quot;_-;_-@_-"/>
    <numFmt numFmtId="206" formatCode="#,##0.00\ &quot;F&quot;;\-#,##0.00\ &quot;F&quot;"/>
    <numFmt numFmtId="207" formatCode="&quot;\&quot;#,##0.00;[Red]&quot;\&quot;\-#,##0.00"/>
    <numFmt numFmtId="208" formatCode="&quot;\&quot;#,##0;[Red]&quot;\&quot;\-#,##0"/>
    <numFmt numFmtId="209" formatCode="_-&quot;$&quot;* #,##0_-;\-&quot;$&quot;* #,##0_-;_-&quot;$&quot;* &quot;-&quot;_-;_-@_-"/>
    <numFmt numFmtId="210" formatCode="#,##0.0"/>
    <numFmt numFmtId="211" formatCode="#,##0.000"/>
  </numFmts>
  <fonts count="127">
    <font>
      <sz val="12"/>
      <name val=".VnTime"/>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VnTime"/>
      <family val="2"/>
    </font>
    <font>
      <sz val="10"/>
      <name val="Arial"/>
      <family val="2"/>
    </font>
    <font>
      <b/>
      <sz val="12"/>
      <name val="Arial"/>
      <family val="2"/>
    </font>
    <font>
      <sz val="10"/>
      <name val="??"/>
      <family val="3"/>
    </font>
    <font>
      <b/>
      <sz val="10"/>
      <color indexed="10"/>
      <name val="Arial"/>
      <family val="2"/>
    </font>
    <font>
      <b/>
      <sz val="10"/>
      <color indexed="8"/>
      <name val="Arial"/>
      <family val="2"/>
    </font>
    <font>
      <b/>
      <sz val="12"/>
      <name val="Times New Roman"/>
      <family val="1"/>
    </font>
    <font>
      <sz val="12"/>
      <name val="Times New Roman"/>
      <family val="1"/>
    </font>
    <font>
      <b/>
      <i/>
      <sz val="12"/>
      <name val="Times New Roman"/>
      <family val="1"/>
    </font>
    <font>
      <i/>
      <sz val="12"/>
      <name val="Times New Roman"/>
      <family val="1"/>
    </font>
    <font>
      <sz val="10"/>
      <name val="MS Sans Serif"/>
      <family val="2"/>
    </font>
    <font>
      <sz val="13"/>
      <name val="VNTime"/>
    </font>
    <font>
      <sz val="12"/>
      <name val=".VnArial"/>
      <family val="2"/>
    </font>
    <font>
      <b/>
      <sz val="14"/>
      <name val="Times New Roman"/>
      <family val="1"/>
    </font>
    <font>
      <b/>
      <sz val="13"/>
      <name val="Times New Roman"/>
      <family val="1"/>
    </font>
    <font>
      <sz val="14"/>
      <name val="Times New Roman"/>
      <family val="1"/>
    </font>
    <font>
      <sz val="9"/>
      <name val="Times New Roman"/>
      <family val="1"/>
    </font>
    <font>
      <sz val="11"/>
      <name val="Times New Roman"/>
      <family val="1"/>
    </font>
    <font>
      <sz val="8"/>
      <name val="Times New Roman"/>
      <family val="1"/>
    </font>
    <font>
      <sz val="13"/>
      <name val="Times New Roman"/>
      <family val="1"/>
    </font>
    <font>
      <sz val="10"/>
      <name val="Times New Roman"/>
      <family val="1"/>
    </font>
    <font>
      <b/>
      <sz val="10"/>
      <name val="Times New Roman"/>
      <family val="1"/>
    </font>
    <font>
      <i/>
      <sz val="14"/>
      <name val="Times New Roman"/>
      <family val="1"/>
    </font>
    <font>
      <i/>
      <sz val="10"/>
      <name val="Times New Roman"/>
      <family val="1"/>
    </font>
    <font>
      <sz val="7"/>
      <name val="Times New Roman"/>
      <family val="1"/>
    </font>
    <font>
      <b/>
      <sz val="11"/>
      <name val="Times New Roman"/>
      <family val="1"/>
    </font>
    <font>
      <sz val="10"/>
      <name val=".VnTime"/>
      <family val="2"/>
    </font>
    <font>
      <sz val="14"/>
      <color theme="1"/>
      <name val="Times New Roman"/>
      <family val="1"/>
    </font>
    <font>
      <i/>
      <sz val="14"/>
      <color theme="1"/>
      <name val="Times New Roman"/>
      <family val="1"/>
    </font>
    <font>
      <b/>
      <sz val="12"/>
      <color theme="1"/>
      <name val="Times New Roman"/>
      <family val="1"/>
    </font>
    <font>
      <sz val="13"/>
      <color theme="1"/>
      <name val="Times New Roman"/>
      <family val="1"/>
    </font>
    <font>
      <b/>
      <sz val="14"/>
      <color theme="1"/>
      <name val="Times New Roman"/>
      <family val="1"/>
    </font>
    <font>
      <b/>
      <sz val="14"/>
      <name val="Times New Romanh"/>
    </font>
    <font>
      <b/>
      <i/>
      <sz val="14"/>
      <name val="Times New Roman"/>
      <family val="1"/>
    </font>
    <font>
      <sz val="14"/>
      <name val=".VnTime"/>
      <family val="2"/>
    </font>
    <font>
      <sz val="9"/>
      <name val="Arial"/>
      <family val="2"/>
    </font>
    <font>
      <sz val="13"/>
      <name val=".VnTime"/>
      <family val="2"/>
    </font>
    <font>
      <sz val="11"/>
      <color theme="1"/>
      <name val="Calibri"/>
      <family val="2"/>
      <scheme val="minor"/>
    </font>
    <font>
      <sz val="12"/>
      <name val=".VnArial Narrow"/>
      <family val="2"/>
    </font>
    <font>
      <sz val="11"/>
      <color theme="1"/>
      <name val="Calibri"/>
      <family val="2"/>
      <charset val="163"/>
      <scheme val="minor"/>
    </font>
    <font>
      <u/>
      <sz val="14"/>
      <name val="Times New Roman"/>
      <family val="1"/>
    </font>
    <font>
      <sz val="12"/>
      <color theme="1"/>
      <name val="Times New Roman"/>
      <family val="1"/>
    </font>
    <font>
      <b/>
      <sz val="11"/>
      <color theme="1"/>
      <name val="Times New Roman"/>
      <family val="1"/>
    </font>
    <font>
      <i/>
      <sz val="12"/>
      <color theme="1"/>
      <name val="Times New Roman"/>
      <family val="1"/>
    </font>
    <font>
      <b/>
      <i/>
      <sz val="12"/>
      <color theme="1"/>
      <name val="Times New Roman"/>
      <family val="1"/>
    </font>
    <font>
      <sz val="12"/>
      <name val="VNI-Times"/>
    </font>
    <font>
      <sz val="10"/>
      <name val="?? ??"/>
      <family val="1"/>
      <charset val="136"/>
    </font>
    <font>
      <sz val="14"/>
      <name val="??"/>
      <family val="3"/>
      <charset val="129"/>
    </font>
    <font>
      <sz val="12"/>
      <name val="????"/>
      <family val="1"/>
      <charset val="136"/>
    </font>
    <font>
      <sz val="12"/>
      <name val="Courier"/>
      <family val="3"/>
    </font>
    <font>
      <sz val="12"/>
      <name val="|??¢¥¢¬¨Ï"/>
      <family val="1"/>
      <charset val="129"/>
    </font>
    <font>
      <sz val="10"/>
      <name val="VNI-Times"/>
    </font>
    <font>
      <sz val="10"/>
      <color indexed="8"/>
      <name val="Arial"/>
      <family val="2"/>
    </font>
    <font>
      <sz val="11"/>
      <name val="VNI-Aptima"/>
    </font>
    <font>
      <sz val="12"/>
      <name val="???"/>
    </font>
    <font>
      <sz val="14"/>
      <name val="VNTime"/>
    </font>
    <font>
      <sz val="12"/>
      <name val="¹ÙÅÁÃ¼"/>
      <family val="1"/>
    </font>
    <font>
      <i/>
      <sz val="12"/>
      <color indexed="8"/>
      <name val=".VnBook-AntiquaH"/>
      <family val="2"/>
    </font>
    <font>
      <b/>
      <sz val="12"/>
      <color indexed="8"/>
      <name val=".VnBook-Antiqua"/>
      <family val="2"/>
    </font>
    <font>
      <i/>
      <sz val="12"/>
      <color indexed="8"/>
      <name val=".VnBook-Antiqua"/>
      <family val="2"/>
    </font>
    <font>
      <sz val="12"/>
      <name val="±¼¸²Ã¼"/>
      <family val="3"/>
      <charset val="129"/>
    </font>
    <font>
      <sz val="12"/>
      <name val="¹UAAA¼"/>
      <family val="3"/>
      <charset val="129"/>
    </font>
    <font>
      <sz val="11"/>
      <name val="±¼¸²Ã¼"/>
      <family val="3"/>
      <charset val="129"/>
    </font>
    <font>
      <sz val="12"/>
      <name val="Tms Rmn"/>
    </font>
    <font>
      <sz val="11"/>
      <name val="µ¸¿ò"/>
      <charset val="129"/>
    </font>
    <font>
      <sz val="12"/>
      <name val="µ¸¿òÃ¼"/>
      <family val="3"/>
      <charset val="129"/>
    </font>
    <font>
      <sz val="10"/>
      <name val="±¼¸²A¼"/>
      <family val="3"/>
      <charset val="129"/>
    </font>
    <font>
      <sz val="10"/>
      <name val="Arial"/>
      <family val="2"/>
      <charset val="163"/>
    </font>
    <font>
      <sz val="10"/>
      <name val="Helv"/>
    </font>
    <font>
      <b/>
      <sz val="10"/>
      <name val="Helv"/>
    </font>
    <font>
      <sz val="10"/>
      <name val=".VnArial"/>
      <family val="2"/>
    </font>
    <font>
      <sz val="11"/>
      <name val="Tms Rmn"/>
    </font>
    <font>
      <sz val="10"/>
      <name val="MS Serif"/>
      <family val="1"/>
    </font>
    <font>
      <sz val="10"/>
      <name val="Arial CE"/>
      <charset val="238"/>
    </font>
    <font>
      <sz val="10"/>
      <color indexed="16"/>
      <name val="MS Serif"/>
      <family val="1"/>
    </font>
    <font>
      <sz val="10"/>
      <color indexed="8"/>
      <name val="Arial"/>
      <family val="2"/>
      <charset val="1"/>
    </font>
    <font>
      <sz val="8"/>
      <name val="Arial"/>
      <family val="2"/>
      <charset val="163"/>
    </font>
    <font>
      <b/>
      <sz val="12"/>
      <color indexed="9"/>
      <name val="Tms Rmn"/>
    </font>
    <font>
      <b/>
      <sz val="12"/>
      <name val="Helv"/>
    </font>
    <font>
      <b/>
      <sz val="18"/>
      <name val="Arial"/>
      <family val="2"/>
    </font>
    <font>
      <b/>
      <sz val="8"/>
      <name val="MS Sans Serif"/>
      <family val="2"/>
    </font>
    <font>
      <b/>
      <sz val="10"/>
      <name val=".VnTime"/>
      <family val="2"/>
    </font>
    <font>
      <b/>
      <sz val="14"/>
      <name val=".VnTimeH"/>
      <family val="2"/>
    </font>
    <font>
      <b/>
      <sz val="11"/>
      <name val="Helv"/>
    </font>
    <font>
      <sz val="12"/>
      <name val="Arial"/>
      <family val="2"/>
    </font>
    <font>
      <sz val="7"/>
      <name val="Small Fonts"/>
      <family val="2"/>
    </font>
    <font>
      <b/>
      <sz val="11"/>
      <name val="Arial"/>
      <family val="2"/>
    </font>
    <font>
      <sz val="12"/>
      <name val="Helv"/>
    </font>
    <font>
      <b/>
      <sz val="10"/>
      <name val="MS Sans Serif"/>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8"/>
      <name val="MS Sans Serif"/>
      <family val="2"/>
    </font>
    <font>
      <sz val="8"/>
      <name val="Tms Rmn"/>
    </font>
    <font>
      <b/>
      <sz val="8"/>
      <color indexed="8"/>
      <name val="Helv"/>
    </font>
    <font>
      <b/>
      <sz val="13"/>
      <color indexed="8"/>
      <name val=".VnTimeH"/>
      <family val="2"/>
    </font>
    <font>
      <sz val="14"/>
      <name val="VnTime"/>
      <family val="2"/>
    </font>
    <font>
      <b/>
      <sz val="8"/>
      <name val="VN Helvetica"/>
    </font>
    <font>
      <b/>
      <sz val="12"/>
      <name val=".VnTime"/>
      <family val="2"/>
    </font>
    <font>
      <b/>
      <sz val="10"/>
      <name val="VN AvantGBook"/>
    </font>
    <font>
      <b/>
      <sz val="16"/>
      <name val=".VnTime"/>
      <family val="2"/>
    </font>
    <font>
      <sz val="9"/>
      <name val=".VnTime"/>
      <family val="2"/>
    </font>
    <font>
      <sz val="14"/>
      <name val=".VnArial"/>
      <family val="2"/>
    </font>
    <font>
      <sz val="10"/>
      <name val=" "/>
      <family val="1"/>
      <charset val="136"/>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b/>
      <sz val="13"/>
      <color theme="1"/>
      <name val="Times New Roman"/>
      <family val="1"/>
    </font>
    <font>
      <i/>
      <sz val="13"/>
      <color theme="1"/>
      <name val="Times New Roman"/>
      <family val="1"/>
    </font>
    <font>
      <i/>
      <sz val="13"/>
      <name val="Times New Roman"/>
      <family val="1"/>
    </font>
    <font>
      <sz val="12"/>
      <color rgb="FFFF0000"/>
      <name val="Times New Roman"/>
      <family val="1"/>
    </font>
    <font>
      <sz val="14"/>
      <color rgb="FFFF0000"/>
      <name val="Times New Roman"/>
      <family val="1"/>
    </font>
    <font>
      <sz val="12"/>
      <color theme="1"/>
      <name val="Calibri"/>
      <family val="2"/>
      <scheme val="minor"/>
    </font>
    <font>
      <sz val="10"/>
      <color theme="1"/>
      <name val="Calibri"/>
      <family val="2"/>
      <scheme val="minor"/>
    </font>
    <font>
      <sz val="11"/>
      <color theme="1"/>
      <name val="Times New Roman"/>
      <family val="1"/>
    </font>
  </fonts>
  <fills count="2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8"/>
        <bgColor indexed="64"/>
      </patternFill>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indexed="65"/>
        <bgColor indexed="64"/>
      </patternFill>
    </fill>
    <fill>
      <patternFill patternType="solid">
        <fgColor indexed="40"/>
        <bgColor indexed="64"/>
      </patternFill>
    </fill>
    <fill>
      <patternFill patternType="darkVertica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theme="0"/>
        <bgColor indexed="64"/>
      </patternFill>
    </fill>
  </fills>
  <borders count="4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medium">
        <color indexed="64"/>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auto="1"/>
      </left>
      <right style="thin">
        <color auto="1"/>
      </right>
      <top style="thin">
        <color auto="1"/>
      </top>
      <bottom style="thin">
        <color auto="1"/>
      </bottom>
      <diagonal/>
    </border>
  </borders>
  <cellStyleXfs count="331">
    <xf numFmtId="0" fontId="0" fillId="0" borderId="0"/>
    <xf numFmtId="0" fontId="6" fillId="0" borderId="0"/>
    <xf numFmtId="43" fontId="5" fillId="0" borderId="0" applyFont="0" applyFill="0" applyBorder="0" applyAlignment="0" applyProtection="0"/>
    <xf numFmtId="43" fontId="31" fillId="0" borderId="0" applyFont="0" applyFill="0" applyBorder="0" applyAlignment="0" applyProtection="0"/>
    <xf numFmtId="0" fontId="7" fillId="0" borderId="1" applyNumberFormat="0" applyAlignment="0" applyProtection="0">
      <alignment horizontal="left" vertical="center"/>
    </xf>
    <xf numFmtId="0" fontId="7" fillId="0" borderId="2">
      <alignment horizontal="left" vertical="center"/>
    </xf>
    <xf numFmtId="0" fontId="5" fillId="0" borderId="0"/>
    <xf numFmtId="0" fontId="31" fillId="0" borderId="0"/>
    <xf numFmtId="0" fontId="17" fillId="0" borderId="0"/>
    <xf numFmtId="0" fontId="15" fillId="0" borderId="0"/>
    <xf numFmtId="0" fontId="16" fillId="0" borderId="0"/>
    <xf numFmtId="0" fontId="5" fillId="0" borderId="0"/>
    <xf numFmtId="0" fontId="39" fillId="0" borderId="0" applyProtection="0"/>
    <xf numFmtId="166" fontId="40" fillId="0" borderId="0" applyProtection="0"/>
    <xf numFmtId="167" fontId="41" fillId="0" borderId="0" applyFont="0" applyFill="0" applyBorder="0" applyAlignment="0" applyProtection="0"/>
    <xf numFmtId="0" fontId="42" fillId="0" borderId="0"/>
    <xf numFmtId="0" fontId="40" fillId="0" borderId="0"/>
    <xf numFmtId="0" fontId="43" fillId="0" borderId="0"/>
    <xf numFmtId="0" fontId="44" fillId="0" borderId="0"/>
    <xf numFmtId="169" fontId="50" fillId="0" borderId="0" applyFont="0" applyFill="0" applyBorder="0" applyAlignment="0" applyProtection="0"/>
    <xf numFmtId="170" fontId="6" fillId="0" borderId="0" applyFont="0" applyFill="0" applyBorder="0" applyAlignment="0" applyProtection="0"/>
    <xf numFmtId="0" fontId="51" fillId="0" borderId="0" applyFont="0" applyFill="0" applyBorder="0" applyAlignment="0" applyProtection="0"/>
    <xf numFmtId="171" fontId="6" fillId="0" borderId="0" applyFont="0" applyFill="0" applyBorder="0" applyAlignment="0" applyProtection="0"/>
    <xf numFmtId="0" fontId="6" fillId="0" borderId="0" applyNumberFormat="0" applyFill="0" applyBorder="0" applyAlignment="0" applyProtection="0"/>
    <xf numFmtId="40" fontId="52" fillId="0" borderId="0" applyFont="0" applyFill="0" applyBorder="0" applyAlignment="0" applyProtection="0"/>
    <xf numFmtId="38" fontId="52" fillId="0" borderId="0" applyFont="0" applyFill="0" applyBorder="0" applyAlignment="0" applyProtection="0"/>
    <xf numFmtId="172" fontId="53" fillId="0" borderId="0" applyFont="0" applyFill="0" applyBorder="0" applyAlignment="0" applyProtection="0"/>
    <xf numFmtId="173" fontId="53" fillId="0" borderId="0" applyFont="0" applyFill="0" applyBorder="0" applyAlignment="0" applyProtection="0"/>
    <xf numFmtId="6" fontId="54" fillId="0" borderId="0" applyFont="0" applyFill="0" applyBorder="0" applyAlignment="0" applyProtection="0"/>
    <xf numFmtId="0" fontId="12" fillId="0" borderId="0">
      <alignment vertical="center"/>
    </xf>
    <xf numFmtId="0" fontId="6" fillId="0" borderId="0" applyFont="0" applyFill="0" applyBorder="0" applyAlignment="0" applyProtection="0"/>
    <xf numFmtId="0" fontId="6" fillId="0" borderId="0" applyFont="0" applyFill="0" applyBorder="0" applyAlignment="0" applyProtection="0"/>
    <xf numFmtId="0" fontId="55" fillId="0" borderId="0"/>
    <xf numFmtId="0" fontId="6" fillId="0" borderId="0" applyNumberFormat="0" applyFill="0" applyBorder="0" applyAlignment="0" applyProtection="0"/>
    <xf numFmtId="174" fontId="56" fillId="0" borderId="0" applyFont="0" applyFill="0" applyBorder="0" applyAlignment="0" applyProtection="0"/>
    <xf numFmtId="174" fontId="56" fillId="0" borderId="0" applyFont="0" applyFill="0" applyBorder="0" applyAlignment="0" applyProtection="0"/>
    <xf numFmtId="0" fontId="15" fillId="0" borderId="0"/>
    <xf numFmtId="175" fontId="5" fillId="0" borderId="0" applyFont="0" applyFill="0" applyBorder="0" applyAlignment="0" applyProtection="0"/>
    <xf numFmtId="0" fontId="57" fillId="0" borderId="0">
      <alignment vertical="top"/>
    </xf>
    <xf numFmtId="0" fontId="57" fillId="0" borderId="0">
      <alignment vertical="top"/>
    </xf>
    <xf numFmtId="174" fontId="56" fillId="0" borderId="0" applyFont="0" applyFill="0" applyBorder="0" applyAlignment="0" applyProtection="0"/>
    <xf numFmtId="169" fontId="50" fillId="0" borderId="0" applyFont="0" applyFill="0" applyBorder="0" applyAlignment="0" applyProtection="0"/>
    <xf numFmtId="173" fontId="50" fillId="0" borderId="0" applyFont="0" applyFill="0" applyBorder="0" applyAlignment="0" applyProtection="0"/>
    <xf numFmtId="0" fontId="56" fillId="0" borderId="0" applyFont="0" applyFill="0" applyBorder="0" applyAlignment="0" applyProtection="0"/>
    <xf numFmtId="172" fontId="50" fillId="0" borderId="0" applyFont="0" applyFill="0" applyBorder="0" applyAlignment="0" applyProtection="0"/>
    <xf numFmtId="174" fontId="56" fillId="0" borderId="0" applyFont="0" applyFill="0" applyBorder="0" applyAlignment="0" applyProtection="0"/>
    <xf numFmtId="0" fontId="56" fillId="0" borderId="0" applyFont="0" applyFill="0" applyBorder="0" applyAlignment="0" applyProtection="0"/>
    <xf numFmtId="173" fontId="50" fillId="0" borderId="0" applyFont="0" applyFill="0" applyBorder="0" applyAlignment="0" applyProtection="0"/>
    <xf numFmtId="175" fontId="56" fillId="0" borderId="0" applyFont="0" applyFill="0" applyBorder="0" applyAlignment="0" applyProtection="0"/>
    <xf numFmtId="172" fontId="50" fillId="0" borderId="0" applyFont="0" applyFill="0" applyBorder="0" applyAlignment="0" applyProtection="0"/>
    <xf numFmtId="173" fontId="50" fillId="0" borderId="0" applyFont="0" applyFill="0" applyBorder="0" applyAlignment="0" applyProtection="0"/>
    <xf numFmtId="175" fontId="56" fillId="0" borderId="0" applyFont="0" applyFill="0" applyBorder="0" applyAlignment="0" applyProtection="0"/>
    <xf numFmtId="0" fontId="56" fillId="0" borderId="0" applyFont="0" applyFill="0" applyBorder="0" applyAlignment="0" applyProtection="0"/>
    <xf numFmtId="172" fontId="50" fillId="0" borderId="0" applyFont="0" applyFill="0" applyBorder="0" applyAlignment="0" applyProtection="0"/>
    <xf numFmtId="169" fontId="50" fillId="0" borderId="0" applyFont="0" applyFill="0" applyBorder="0" applyAlignment="0" applyProtection="0"/>
    <xf numFmtId="0" fontId="58" fillId="0" borderId="0"/>
    <xf numFmtId="172" fontId="50" fillId="0" borderId="0" applyFont="0" applyFill="0" applyBorder="0" applyAlignment="0" applyProtection="0"/>
    <xf numFmtId="175" fontId="56" fillId="0" borderId="0" applyFont="0" applyFill="0" applyBorder="0" applyAlignment="0" applyProtection="0"/>
    <xf numFmtId="0" fontId="56" fillId="0" borderId="0" applyFont="0" applyFill="0" applyBorder="0" applyAlignment="0" applyProtection="0"/>
    <xf numFmtId="169" fontId="50" fillId="0" borderId="0" applyFont="0" applyFill="0" applyBorder="0" applyAlignment="0" applyProtection="0"/>
    <xf numFmtId="173" fontId="50" fillId="0" borderId="0" applyFont="0" applyFill="0" applyBorder="0" applyAlignment="0" applyProtection="0"/>
    <xf numFmtId="176" fontId="59" fillId="0" borderId="0" applyFont="0" applyFill="0" applyBorder="0" applyAlignment="0" applyProtection="0"/>
    <xf numFmtId="1" fontId="60" fillId="0" borderId="14" applyBorder="0" applyAlignment="0">
      <alignment horizontal="center"/>
    </xf>
    <xf numFmtId="176" fontId="59" fillId="0" borderId="0" applyFont="0" applyFill="0" applyBorder="0" applyAlignment="0" applyProtection="0"/>
    <xf numFmtId="176" fontId="59" fillId="0" borderId="0" applyFont="0" applyFill="0" applyBorder="0" applyAlignment="0" applyProtection="0"/>
    <xf numFmtId="176" fontId="59" fillId="0" borderId="0" applyFont="0" applyFill="0" applyBorder="0" applyAlignment="0" applyProtection="0"/>
    <xf numFmtId="176" fontId="59" fillId="0" borderId="0" applyFont="0" applyFill="0" applyBorder="0" applyAlignment="0" applyProtection="0"/>
    <xf numFmtId="9" fontId="61" fillId="0" borderId="0" applyFont="0" applyFill="0" applyBorder="0" applyAlignment="0" applyProtection="0"/>
    <xf numFmtId="0" fontId="62" fillId="6" borderId="0"/>
    <xf numFmtId="0" fontId="5" fillId="0" borderId="0"/>
    <xf numFmtId="0" fontId="63" fillId="6" borderId="0"/>
    <xf numFmtId="0" fontId="64" fillId="0" borderId="0">
      <alignment wrapText="1"/>
    </xf>
    <xf numFmtId="176" fontId="65" fillId="0" borderId="0" applyFont="0" applyFill="0" applyBorder="0" applyAlignment="0" applyProtection="0"/>
    <xf numFmtId="0" fontId="66" fillId="0" borderId="0" applyFont="0" applyFill="0" applyBorder="0" applyAlignment="0" applyProtection="0"/>
    <xf numFmtId="176" fontId="67" fillId="0" borderId="0" applyFont="0" applyFill="0" applyBorder="0" applyAlignment="0" applyProtection="0"/>
    <xf numFmtId="177" fontId="65" fillId="0" borderId="0" applyFont="0" applyFill="0" applyBorder="0" applyAlignment="0" applyProtection="0"/>
    <xf numFmtId="0" fontId="66" fillId="0" borderId="0" applyFont="0" applyFill="0" applyBorder="0" applyAlignment="0" applyProtection="0"/>
    <xf numFmtId="177" fontId="67" fillId="0" borderId="0" applyFont="0" applyFill="0" applyBorder="0" applyAlignment="0" applyProtection="0"/>
    <xf numFmtId="0" fontId="23" fillId="0" borderId="0">
      <alignment horizontal="center" wrapText="1"/>
      <protection locked="0"/>
    </xf>
    <xf numFmtId="178" fontId="65" fillId="0" borderId="0" applyFont="0" applyFill="0" applyBorder="0" applyAlignment="0" applyProtection="0"/>
    <xf numFmtId="0" fontId="66" fillId="0" borderId="0" applyFont="0" applyFill="0" applyBorder="0" applyAlignment="0" applyProtection="0"/>
    <xf numFmtId="178" fontId="67" fillId="0" borderId="0" applyFont="0" applyFill="0" applyBorder="0" applyAlignment="0" applyProtection="0"/>
    <xf numFmtId="179" fontId="65" fillId="0" borderId="0" applyFont="0" applyFill="0" applyBorder="0" applyAlignment="0" applyProtection="0"/>
    <xf numFmtId="0" fontId="66" fillId="0" borderId="0" applyFont="0" applyFill="0" applyBorder="0" applyAlignment="0" applyProtection="0"/>
    <xf numFmtId="179" fontId="67" fillId="0" borderId="0" applyFont="0" applyFill="0" applyBorder="0" applyAlignment="0" applyProtection="0"/>
    <xf numFmtId="169" fontId="50" fillId="0" borderId="0" applyFont="0" applyFill="0" applyBorder="0" applyAlignment="0" applyProtection="0"/>
    <xf numFmtId="0" fontId="68" fillId="0" borderId="0" applyNumberFormat="0" applyFill="0" applyBorder="0" applyAlignment="0" applyProtection="0"/>
    <xf numFmtId="0" fontId="66" fillId="0" borderId="0"/>
    <xf numFmtId="0" fontId="69" fillId="0" borderId="0"/>
    <xf numFmtId="0" fontId="66" fillId="0" borderId="0"/>
    <xf numFmtId="0" fontId="70" fillId="0" borderId="0"/>
    <xf numFmtId="0" fontId="71" fillId="0" borderId="0"/>
    <xf numFmtId="180" fontId="72" fillId="0" borderId="0" applyFill="0" applyBorder="0" applyAlignment="0"/>
    <xf numFmtId="181" fontId="73" fillId="0" borderId="0" applyFill="0" applyBorder="0" applyAlignment="0"/>
    <xf numFmtId="182" fontId="73" fillId="0" borderId="0" applyFill="0" applyBorder="0" applyAlignment="0"/>
    <xf numFmtId="183" fontId="73" fillId="0" borderId="0" applyFill="0" applyBorder="0" applyAlignment="0"/>
    <xf numFmtId="184" fontId="72" fillId="0" borderId="0" applyFill="0" applyBorder="0" applyAlignment="0"/>
    <xf numFmtId="185" fontId="73" fillId="0" borderId="0" applyFill="0" applyBorder="0" applyAlignment="0"/>
    <xf numFmtId="186" fontId="73" fillId="0" borderId="0" applyFill="0" applyBorder="0" applyAlignment="0"/>
    <xf numFmtId="181" fontId="73" fillId="0" borderId="0" applyFill="0" applyBorder="0" applyAlignment="0"/>
    <xf numFmtId="0" fontId="74" fillId="0" borderId="0"/>
    <xf numFmtId="164" fontId="75" fillId="0" borderId="0" applyFont="0" applyFill="0" applyBorder="0" applyAlignment="0" applyProtection="0"/>
    <xf numFmtId="187" fontId="76" fillId="0" borderId="0"/>
    <xf numFmtId="187" fontId="76" fillId="0" borderId="0"/>
    <xf numFmtId="187" fontId="76" fillId="0" borderId="0"/>
    <xf numFmtId="187" fontId="76" fillId="0" borderId="0"/>
    <xf numFmtId="187" fontId="76" fillId="0" borderId="0"/>
    <xf numFmtId="187" fontId="76" fillId="0" borderId="0"/>
    <xf numFmtId="187" fontId="76" fillId="0" borderId="0"/>
    <xf numFmtId="187" fontId="76" fillId="0" borderId="0"/>
    <xf numFmtId="185" fontId="73"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17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6" fillId="0" borderId="0" applyFont="0" applyFill="0" applyBorder="0" applyAlignment="0" applyProtection="0"/>
    <xf numFmtId="188" fontId="44" fillId="0" borderId="0" applyFont="0" applyFill="0" applyBorder="0" applyAlignment="0" applyProtection="0"/>
    <xf numFmtId="188" fontId="44" fillId="0" borderId="0" applyFont="0" applyFill="0" applyBorder="0" applyAlignment="0" applyProtection="0"/>
    <xf numFmtId="189" fontId="15" fillId="0" borderId="0"/>
    <xf numFmtId="3" fontId="6" fillId="0" borderId="0" applyFont="0" applyFill="0" applyBorder="0" applyAlignment="0" applyProtection="0"/>
    <xf numFmtId="0" fontId="77" fillId="0" borderId="0" applyNumberFormat="0" applyAlignment="0">
      <alignment horizontal="left"/>
    </xf>
    <xf numFmtId="181" fontId="73" fillId="0" borderId="0" applyFont="0" applyFill="0" applyBorder="0" applyAlignment="0" applyProtection="0"/>
    <xf numFmtId="190" fontId="50" fillId="0" borderId="0" applyFont="0" applyFill="0" applyBorder="0" applyAlignment="0" applyProtection="0"/>
    <xf numFmtId="191" fontId="15" fillId="0" borderId="0"/>
    <xf numFmtId="0" fontId="6" fillId="0" borderId="0" applyFont="0" applyFill="0" applyBorder="0" applyAlignment="0" applyProtection="0"/>
    <xf numFmtId="14" fontId="57" fillId="0" borderId="0" applyFill="0" applyBorder="0" applyAlignment="0"/>
    <xf numFmtId="192" fontId="15" fillId="0" borderId="0" applyFont="0" applyFill="0" applyBorder="0" applyAlignment="0" applyProtection="0"/>
    <xf numFmtId="193" fontId="15" fillId="0" borderId="0" applyFont="0" applyFill="0" applyBorder="0" applyAlignment="0" applyProtection="0"/>
    <xf numFmtId="194" fontId="15" fillId="0" borderId="0"/>
    <xf numFmtId="172" fontId="78" fillId="0" borderId="0" applyFont="0" applyFill="0" applyBorder="0" applyAlignment="0" applyProtection="0"/>
    <xf numFmtId="173" fontId="78" fillId="0" borderId="0" applyFont="0" applyFill="0" applyBorder="0" applyAlignment="0" applyProtection="0"/>
    <xf numFmtId="172" fontId="78" fillId="0" borderId="0" applyFont="0" applyFill="0" applyBorder="0" applyAlignment="0" applyProtection="0"/>
    <xf numFmtId="41" fontId="78" fillId="0" borderId="0" applyFont="0" applyFill="0" applyBorder="0" applyAlignment="0" applyProtection="0"/>
    <xf numFmtId="172" fontId="78" fillId="0" borderId="0" applyFont="0" applyFill="0" applyBorder="0" applyAlignment="0" applyProtection="0"/>
    <xf numFmtId="172" fontId="78" fillId="0" borderId="0" applyFont="0" applyFill="0" applyBorder="0" applyAlignment="0" applyProtection="0"/>
    <xf numFmtId="41" fontId="78" fillId="0" borderId="0" applyFont="0" applyFill="0" applyBorder="0" applyAlignment="0" applyProtection="0"/>
    <xf numFmtId="41" fontId="78" fillId="0" borderId="0" applyFont="0" applyFill="0" applyBorder="0" applyAlignment="0" applyProtection="0"/>
    <xf numFmtId="41" fontId="78" fillId="0" borderId="0" applyFont="0" applyFill="0" applyBorder="0" applyAlignment="0" applyProtection="0"/>
    <xf numFmtId="172" fontId="78" fillId="0" borderId="0" applyFont="0" applyFill="0" applyBorder="0" applyAlignment="0" applyProtection="0"/>
    <xf numFmtId="172" fontId="78" fillId="0" borderId="0" applyFont="0" applyFill="0" applyBorder="0" applyAlignment="0" applyProtection="0"/>
    <xf numFmtId="172" fontId="78" fillId="0" borderId="0" applyFont="0" applyFill="0" applyBorder="0" applyAlignment="0" applyProtection="0"/>
    <xf numFmtId="41" fontId="78" fillId="0" borderId="0" applyFont="0" applyFill="0" applyBorder="0" applyAlignment="0" applyProtection="0"/>
    <xf numFmtId="41" fontId="78" fillId="0" borderId="0" applyFont="0" applyFill="0" applyBorder="0" applyAlignment="0" applyProtection="0"/>
    <xf numFmtId="195" fontId="78" fillId="0" borderId="0" applyFont="0" applyFill="0" applyBorder="0" applyAlignment="0" applyProtection="0"/>
    <xf numFmtId="195" fontId="78" fillId="0" borderId="0" applyFont="0" applyFill="0" applyBorder="0" applyAlignment="0" applyProtection="0"/>
    <xf numFmtId="41" fontId="78" fillId="0" borderId="0" applyFont="0" applyFill="0" applyBorder="0" applyAlignment="0" applyProtection="0"/>
    <xf numFmtId="173" fontId="78" fillId="0" borderId="0" applyFont="0" applyFill="0" applyBorder="0" applyAlignment="0" applyProtection="0"/>
    <xf numFmtId="43" fontId="78" fillId="0" borderId="0" applyFont="0" applyFill="0" applyBorder="0" applyAlignment="0" applyProtection="0"/>
    <xf numFmtId="173" fontId="78" fillId="0" borderId="0" applyFont="0" applyFill="0" applyBorder="0" applyAlignment="0" applyProtection="0"/>
    <xf numFmtId="17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173" fontId="78" fillId="0" borderId="0" applyFont="0" applyFill="0" applyBorder="0" applyAlignment="0" applyProtection="0"/>
    <xf numFmtId="173" fontId="78" fillId="0" borderId="0" applyFont="0" applyFill="0" applyBorder="0" applyAlignment="0" applyProtection="0"/>
    <xf numFmtId="17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188" fontId="78" fillId="0" borderId="0" applyFont="0" applyFill="0" applyBorder="0" applyAlignment="0" applyProtection="0"/>
    <xf numFmtId="188" fontId="78" fillId="0" borderId="0" applyFont="0" applyFill="0" applyBorder="0" applyAlignment="0" applyProtection="0"/>
    <xf numFmtId="43" fontId="78" fillId="0" borderId="0" applyFont="0" applyFill="0" applyBorder="0" applyAlignment="0" applyProtection="0"/>
    <xf numFmtId="185" fontId="73" fillId="0" borderId="0" applyFill="0" applyBorder="0" applyAlignment="0"/>
    <xf numFmtId="181" fontId="73" fillId="0" borderId="0" applyFill="0" applyBorder="0" applyAlignment="0"/>
    <xf numFmtId="185" fontId="73" fillId="0" borderId="0" applyFill="0" applyBorder="0" applyAlignment="0"/>
    <xf numFmtId="186" fontId="73" fillId="0" borderId="0" applyFill="0" applyBorder="0" applyAlignment="0"/>
    <xf numFmtId="181" fontId="73" fillId="0" borderId="0" applyFill="0" applyBorder="0" applyAlignment="0"/>
    <xf numFmtId="0" fontId="79" fillId="0" borderId="0" applyNumberFormat="0" applyAlignment="0">
      <alignment horizontal="left"/>
    </xf>
    <xf numFmtId="0" fontId="80" fillId="0" borderId="0"/>
    <xf numFmtId="2" fontId="6" fillId="0" borderId="0" applyFont="0" applyFill="0" applyBorder="0" applyAlignment="0" applyProtection="0"/>
    <xf numFmtId="38" fontId="81" fillId="7" borderId="0" applyNumberFormat="0" applyBorder="0" applyAlignment="0" applyProtection="0"/>
    <xf numFmtId="0" fontId="82" fillId="8" borderId="0"/>
    <xf numFmtId="0" fontId="83" fillId="0" borderId="0">
      <alignment horizontal="left"/>
    </xf>
    <xf numFmtId="0" fontId="84" fillId="0" borderId="0" applyProtection="0"/>
    <xf numFmtId="0" fontId="7" fillId="0" borderId="0" applyProtection="0"/>
    <xf numFmtId="0" fontId="85" fillId="0" borderId="35">
      <alignment horizontal="center"/>
    </xf>
    <xf numFmtId="0" fontId="85" fillId="0" borderId="0">
      <alignment horizontal="center"/>
    </xf>
    <xf numFmtId="5" fontId="86" fillId="9" borderId="14" applyNumberFormat="0" applyAlignment="0">
      <alignment horizontal="left" vertical="top"/>
    </xf>
    <xf numFmtId="49" fontId="87" fillId="0" borderId="14">
      <alignment vertical="center"/>
    </xf>
    <xf numFmtId="175" fontId="56" fillId="0" borderId="0" applyFont="0" applyFill="0" applyBorder="0" applyAlignment="0" applyProtection="0"/>
    <xf numFmtId="10" fontId="81" fillId="7" borderId="14" applyNumberFormat="0" applyBorder="0" applyAlignment="0" applyProtection="0"/>
    <xf numFmtId="0" fontId="5" fillId="0" borderId="0"/>
    <xf numFmtId="0" fontId="15" fillId="0" borderId="0"/>
    <xf numFmtId="185" fontId="73" fillId="0" borderId="0" applyFill="0" applyBorder="0" applyAlignment="0"/>
    <xf numFmtId="181" fontId="73" fillId="0" borderId="0" applyFill="0" applyBorder="0" applyAlignment="0"/>
    <xf numFmtId="185" fontId="73" fillId="0" borderId="0" applyFill="0" applyBorder="0" applyAlignment="0"/>
    <xf numFmtId="186" fontId="73" fillId="0" borderId="0" applyFill="0" applyBorder="0" applyAlignment="0"/>
    <xf numFmtId="181" fontId="73" fillId="0" borderId="0" applyFill="0" applyBorder="0" applyAlignment="0"/>
    <xf numFmtId="38" fontId="15" fillId="0" borderId="0" applyFont="0" applyFill="0" applyBorder="0" applyAlignment="0" applyProtection="0"/>
    <xf numFmtId="40" fontId="15" fillId="0" borderId="0" applyFont="0" applyFill="0" applyBorder="0" applyAlignment="0" applyProtection="0"/>
    <xf numFmtId="172" fontId="72" fillId="0" borderId="0" applyFont="0" applyFill="0" applyBorder="0" applyAlignment="0" applyProtection="0"/>
    <xf numFmtId="173" fontId="72" fillId="0" borderId="0" applyFont="0" applyFill="0" applyBorder="0" applyAlignment="0" applyProtection="0"/>
    <xf numFmtId="0" fontId="88" fillId="0" borderId="35"/>
    <xf numFmtId="196" fontId="31" fillId="0" borderId="10"/>
    <xf numFmtId="197" fontId="15" fillId="0" borderId="0" applyFont="0" applyFill="0" applyBorder="0" applyAlignment="0" applyProtection="0"/>
    <xf numFmtId="198" fontId="15" fillId="0" borderId="0" applyFont="0" applyFill="0" applyBorder="0" applyAlignment="0" applyProtection="0"/>
    <xf numFmtId="199" fontId="72" fillId="0" borderId="0" applyFont="0" applyFill="0" applyBorder="0" applyAlignment="0" applyProtection="0"/>
    <xf numFmtId="200" fontId="72" fillId="0" borderId="0" applyFont="0" applyFill="0" applyBorder="0" applyAlignment="0" applyProtection="0"/>
    <xf numFmtId="0" fontId="89" fillId="0" borderId="0" applyNumberFormat="0" applyFont="0" applyFill="0" applyAlignment="0"/>
    <xf numFmtId="0" fontId="25" fillId="0" borderId="0"/>
    <xf numFmtId="37" fontId="90" fillId="0" borderId="0"/>
    <xf numFmtId="0" fontId="72" fillId="0" borderId="0"/>
    <xf numFmtId="0" fontId="24" fillId="0" borderId="0"/>
    <xf numFmtId="0" fontId="44" fillId="0" borderId="0"/>
    <xf numFmtId="0" fontId="43" fillId="0" borderId="0"/>
    <xf numFmtId="0" fontId="20" fillId="0" borderId="0"/>
    <xf numFmtId="0" fontId="43" fillId="0" borderId="0"/>
    <xf numFmtId="0" fontId="43" fillId="0" borderId="0"/>
    <xf numFmtId="0" fontId="43" fillId="0" borderId="0"/>
    <xf numFmtId="0" fontId="43" fillId="0" borderId="0"/>
    <xf numFmtId="0" fontId="43" fillId="0" borderId="0"/>
    <xf numFmtId="0" fontId="43" fillId="0" borderId="0"/>
    <xf numFmtId="0" fontId="6" fillId="0" borderId="0"/>
    <xf numFmtId="0" fontId="43" fillId="0" borderId="0"/>
    <xf numFmtId="0" fontId="4" fillId="0" borderId="0"/>
    <xf numFmtId="0" fontId="44" fillId="0" borderId="0"/>
    <xf numFmtId="0" fontId="5" fillId="0" borderId="0"/>
    <xf numFmtId="0" fontId="78" fillId="0" borderId="0"/>
    <xf numFmtId="0" fontId="91" fillId="0" borderId="0" applyNumberFormat="0" applyFill="0" applyBorder="0" applyAlignment="0" applyProtection="0"/>
    <xf numFmtId="0" fontId="91" fillId="0" borderId="0" applyNumberFormat="0" applyFill="0" applyBorder="0" applyAlignment="0" applyProtection="0"/>
    <xf numFmtId="14" fontId="23" fillId="0" borderId="0">
      <alignment horizontal="center" wrapText="1"/>
      <protection locked="0"/>
    </xf>
    <xf numFmtId="184" fontId="72" fillId="0" borderId="0" applyFont="0" applyFill="0" applyBorder="0" applyAlignment="0" applyProtection="0"/>
    <xf numFmtId="201" fontId="72" fillId="0" borderId="0" applyFont="0" applyFill="0" applyBorder="0" applyAlignment="0" applyProtection="0"/>
    <xf numFmtId="10" fontId="72" fillId="0" borderId="0" applyFont="0" applyFill="0" applyBorder="0" applyAlignment="0" applyProtection="0"/>
    <xf numFmtId="9" fontId="6" fillId="0" borderId="0" applyFont="0" applyFill="0" applyBorder="0" applyAlignment="0" applyProtection="0"/>
    <xf numFmtId="9" fontId="15" fillId="0" borderId="36" applyNumberFormat="0" applyBorder="0"/>
    <xf numFmtId="185" fontId="73" fillId="0" borderId="0" applyFill="0" applyBorder="0" applyAlignment="0"/>
    <xf numFmtId="181" fontId="73" fillId="0" borderId="0" applyFill="0" applyBorder="0" applyAlignment="0"/>
    <xf numFmtId="185" fontId="73" fillId="0" borderId="0" applyFill="0" applyBorder="0" applyAlignment="0"/>
    <xf numFmtId="186" fontId="73" fillId="0" borderId="0" applyFill="0" applyBorder="0" applyAlignment="0"/>
    <xf numFmtId="181" fontId="73" fillId="0" borderId="0" applyFill="0" applyBorder="0" applyAlignment="0"/>
    <xf numFmtId="0" fontId="92" fillId="0" borderId="0"/>
    <xf numFmtId="0" fontId="15" fillId="0" borderId="0" applyNumberFormat="0" applyFont="0" applyFill="0" applyBorder="0" applyAlignment="0" applyProtection="0">
      <alignment horizontal="left"/>
    </xf>
    <xf numFmtId="0" fontId="93" fillId="0" borderId="35">
      <alignment horizontal="center"/>
    </xf>
    <xf numFmtId="0" fontId="94" fillId="10" borderId="0" applyNumberFormat="0" applyFont="0" applyBorder="0" applyAlignment="0">
      <alignment horizontal="center"/>
    </xf>
    <xf numFmtId="14" fontId="95" fillId="0" borderId="0" applyNumberFormat="0" applyFill="0" applyBorder="0" applyAlignment="0" applyProtection="0">
      <alignment horizontal="left"/>
    </xf>
    <xf numFmtId="175" fontId="56" fillId="0" borderId="0" applyFont="0" applyFill="0" applyBorder="0" applyAlignment="0" applyProtection="0"/>
    <xf numFmtId="4" fontId="96" fillId="3" borderId="37" applyNumberFormat="0" applyProtection="0">
      <alignment vertical="center"/>
    </xf>
    <xf numFmtId="4" fontId="97" fillId="3" borderId="37" applyNumberFormat="0" applyProtection="0">
      <alignment vertical="center"/>
    </xf>
    <xf numFmtId="4" fontId="98" fillId="3" borderId="37" applyNumberFormat="0" applyProtection="0">
      <alignment horizontal="left" vertical="center" indent="1"/>
    </xf>
    <xf numFmtId="4" fontId="98" fillId="11" borderId="0" applyNumberFormat="0" applyProtection="0">
      <alignment horizontal="left" vertical="center" indent="1"/>
    </xf>
    <xf numFmtId="4" fontId="98" fillId="12" borderId="37" applyNumberFormat="0" applyProtection="0">
      <alignment horizontal="right" vertical="center"/>
    </xf>
    <xf numFmtId="4" fontId="98" fillId="13" borderId="37" applyNumberFormat="0" applyProtection="0">
      <alignment horizontal="right" vertical="center"/>
    </xf>
    <xf numFmtId="4" fontId="98" fillId="14" borderId="37" applyNumberFormat="0" applyProtection="0">
      <alignment horizontal="right" vertical="center"/>
    </xf>
    <xf numFmtId="4" fontId="98" fillId="2" borderId="37" applyNumberFormat="0" applyProtection="0">
      <alignment horizontal="right" vertical="center"/>
    </xf>
    <xf numFmtId="4" fontId="98" fillId="15" borderId="37" applyNumberFormat="0" applyProtection="0">
      <alignment horizontal="right" vertical="center"/>
    </xf>
    <xf numFmtId="4" fontId="98" fillId="16" borderId="37" applyNumberFormat="0" applyProtection="0">
      <alignment horizontal="right" vertical="center"/>
    </xf>
    <xf numFmtId="4" fontId="98" fillId="17" borderId="37" applyNumberFormat="0" applyProtection="0">
      <alignment horizontal="right" vertical="center"/>
    </xf>
    <xf numFmtId="4" fontId="98" fillId="18" borderId="37" applyNumberFormat="0" applyProtection="0">
      <alignment horizontal="right" vertical="center"/>
    </xf>
    <xf numFmtId="4" fontId="98" fillId="19" borderId="37" applyNumberFormat="0" applyProtection="0">
      <alignment horizontal="right" vertical="center"/>
    </xf>
    <xf numFmtId="4" fontId="96" fillId="20" borderId="38" applyNumberFormat="0" applyProtection="0">
      <alignment horizontal="left" vertical="center" indent="1"/>
    </xf>
    <xf numFmtId="4" fontId="96" fillId="21" borderId="0" applyNumberFormat="0" applyProtection="0">
      <alignment horizontal="left" vertical="center" indent="1"/>
    </xf>
    <xf numFmtId="4" fontId="96" fillId="11" borderId="0" applyNumberFormat="0" applyProtection="0">
      <alignment horizontal="left" vertical="center" indent="1"/>
    </xf>
    <xf numFmtId="4" fontId="98" fillId="21" borderId="37" applyNumberFormat="0" applyProtection="0">
      <alignment horizontal="right" vertical="center"/>
    </xf>
    <xf numFmtId="4" fontId="57" fillId="21" borderId="0" applyNumberFormat="0" applyProtection="0">
      <alignment horizontal="left" vertical="center" indent="1"/>
    </xf>
    <xf numFmtId="4" fontId="57" fillId="11" borderId="0" applyNumberFormat="0" applyProtection="0">
      <alignment horizontal="left" vertical="center" indent="1"/>
    </xf>
    <xf numFmtId="4" fontId="98" fillId="22" borderId="37" applyNumberFormat="0" applyProtection="0">
      <alignment vertical="center"/>
    </xf>
    <xf numFmtId="4" fontId="99" fillId="22" borderId="37" applyNumberFormat="0" applyProtection="0">
      <alignment vertical="center"/>
    </xf>
    <xf numFmtId="4" fontId="96" fillId="21" borderId="39" applyNumberFormat="0" applyProtection="0">
      <alignment horizontal="left" vertical="center" indent="1"/>
    </xf>
    <xf numFmtId="4" fontId="98" fillId="22" borderId="37" applyNumberFormat="0" applyProtection="0">
      <alignment horizontal="right" vertical="center"/>
    </xf>
    <xf numFmtId="4" fontId="99" fillId="22" borderId="37" applyNumberFormat="0" applyProtection="0">
      <alignment horizontal="right" vertical="center"/>
    </xf>
    <xf numFmtId="4" fontId="96" fillId="21" borderId="37" applyNumberFormat="0" applyProtection="0">
      <alignment horizontal="left" vertical="center" indent="1"/>
    </xf>
    <xf numFmtId="4" fontId="100" fillId="9" borderId="39" applyNumberFormat="0" applyProtection="0">
      <alignment horizontal="left" vertical="center" indent="1"/>
    </xf>
    <xf numFmtId="4" fontId="101" fillId="22" borderId="37" applyNumberFormat="0" applyProtection="0">
      <alignment horizontal="right" vertical="center"/>
    </xf>
    <xf numFmtId="0" fontId="94" fillId="1" borderId="2" applyNumberFormat="0" applyFont="0" applyAlignment="0">
      <alignment horizontal="center"/>
    </xf>
    <xf numFmtId="0" fontId="102" fillId="0" borderId="0" applyNumberFormat="0" applyFill="0" applyBorder="0" applyAlignment="0">
      <alignment horizontal="center"/>
    </xf>
    <xf numFmtId="0" fontId="103" fillId="0" borderId="40" applyNumberFormat="0" applyFill="0" applyBorder="0" applyAlignment="0" applyProtection="0"/>
    <xf numFmtId="174" fontId="56" fillId="0" borderId="0" applyFont="0" applyFill="0" applyBorder="0" applyAlignment="0" applyProtection="0"/>
    <xf numFmtId="175" fontId="56" fillId="0" borderId="0" applyFont="0" applyFill="0" applyBorder="0" applyAlignment="0" applyProtection="0"/>
    <xf numFmtId="175" fontId="56" fillId="0" borderId="0" applyFont="0" applyFill="0" applyBorder="0" applyAlignment="0" applyProtection="0"/>
    <xf numFmtId="174" fontId="56" fillId="0" borderId="0" applyFont="0" applyFill="0" applyBorder="0" applyAlignment="0" applyProtection="0"/>
    <xf numFmtId="174" fontId="56" fillId="0" borderId="0" applyFont="0" applyFill="0" applyBorder="0" applyAlignment="0" applyProtection="0"/>
    <xf numFmtId="0" fontId="88" fillId="0" borderId="0"/>
    <xf numFmtId="40" fontId="104" fillId="0" borderId="0" applyBorder="0">
      <alignment horizontal="right"/>
    </xf>
    <xf numFmtId="202" fontId="41" fillId="0" borderId="21">
      <alignment horizontal="right" vertical="center"/>
    </xf>
    <xf numFmtId="202" fontId="41" fillId="0" borderId="21">
      <alignment horizontal="right" vertical="center"/>
    </xf>
    <xf numFmtId="202" fontId="41" fillId="0" borderId="21">
      <alignment horizontal="right" vertical="center"/>
    </xf>
    <xf numFmtId="49" fontId="57" fillId="0" borderId="0" applyFill="0" applyBorder="0" applyAlignment="0"/>
    <xf numFmtId="203" fontId="72" fillId="0" borderId="0" applyFill="0" applyBorder="0" applyAlignment="0"/>
    <xf numFmtId="204" fontId="72" fillId="0" borderId="0" applyFill="0" applyBorder="0" applyAlignment="0"/>
    <xf numFmtId="205" fontId="41" fillId="0" borderId="21">
      <alignment horizontal="center"/>
    </xf>
    <xf numFmtId="0" fontId="91" fillId="0" borderId="0" applyNumberFormat="0" applyFill="0" applyBorder="0" applyAlignment="0" applyProtection="0"/>
    <xf numFmtId="3" fontId="105" fillId="0" borderId="41" applyNumberFormat="0" applyBorder="0" applyAlignment="0"/>
    <xf numFmtId="204" fontId="41" fillId="0" borderId="0"/>
    <xf numFmtId="206" fontId="41" fillId="0" borderId="14"/>
    <xf numFmtId="3" fontId="41" fillId="0" borderId="0" applyNumberFormat="0" applyBorder="0" applyAlignment="0" applyProtection="0">
      <alignment horizontal="centerContinuous"/>
      <protection locked="0"/>
    </xf>
    <xf numFmtId="3" fontId="106" fillId="0" borderId="0">
      <protection locked="0"/>
    </xf>
    <xf numFmtId="5" fontId="107" fillId="23" borderId="7">
      <alignment vertical="top"/>
    </xf>
    <xf numFmtId="0" fontId="108" fillId="24" borderId="14">
      <alignment horizontal="left" vertical="center"/>
    </xf>
    <xf numFmtId="6" fontId="109" fillId="25" borderId="7"/>
    <xf numFmtId="5" fontId="86" fillId="0" borderId="7">
      <alignment horizontal="left" vertical="top"/>
    </xf>
    <xf numFmtId="0" fontId="110" fillId="26" borderId="0">
      <alignment horizontal="left" vertical="center"/>
    </xf>
    <xf numFmtId="5" fontId="31" fillId="0" borderId="18">
      <alignment horizontal="left" vertical="top"/>
    </xf>
    <xf numFmtId="0" fontId="111" fillId="0" borderId="18">
      <alignment horizontal="left" vertical="center"/>
    </xf>
    <xf numFmtId="42" fontId="78" fillId="0" borderId="0" applyFont="0" applyFill="0" applyBorder="0" applyAlignment="0" applyProtection="0"/>
    <xf numFmtId="44" fontId="78" fillId="0" borderId="0" applyFont="0" applyFill="0" applyBorder="0" applyAlignment="0" applyProtection="0"/>
    <xf numFmtId="0" fontId="112" fillId="0" borderId="0" applyNumberFormat="0" applyFill="0" applyBorder="0" applyAlignment="0" applyProtection="0"/>
    <xf numFmtId="0" fontId="113" fillId="0" borderId="0" applyFont="0" applyFill="0" applyBorder="0" applyAlignment="0" applyProtection="0"/>
    <xf numFmtId="0" fontId="113" fillId="0" borderId="0" applyFont="0" applyFill="0" applyBorder="0" applyAlignment="0" applyProtection="0"/>
    <xf numFmtId="0" fontId="12" fillId="0" borderId="0">
      <alignment vertical="center"/>
    </xf>
    <xf numFmtId="40" fontId="114" fillId="0" borderId="0" applyFont="0" applyFill="0" applyBorder="0" applyAlignment="0" applyProtection="0"/>
    <xf numFmtId="38" fontId="114" fillId="0" borderId="0" applyFont="0" applyFill="0" applyBorder="0" applyAlignment="0" applyProtection="0"/>
    <xf numFmtId="0" fontId="114" fillId="0" borderId="0" applyFont="0" applyFill="0" applyBorder="0" applyAlignment="0" applyProtection="0"/>
    <xf numFmtId="0" fontId="114" fillId="0" borderId="0" applyFont="0" applyFill="0" applyBorder="0" applyAlignment="0" applyProtection="0"/>
    <xf numFmtId="9" fontId="115" fillId="0" borderId="0" applyFont="0" applyFill="0" applyBorder="0" applyAlignment="0" applyProtection="0"/>
    <xf numFmtId="0" fontId="116" fillId="0" borderId="0"/>
    <xf numFmtId="171" fontId="6" fillId="0" borderId="0" applyFont="0" applyFill="0" applyBorder="0" applyAlignment="0" applyProtection="0"/>
    <xf numFmtId="170" fontId="6" fillId="0" borderId="0" applyFont="0" applyFill="0" applyBorder="0" applyAlignment="0" applyProtection="0"/>
    <xf numFmtId="207" fontId="117" fillId="0" borderId="0" applyFont="0" applyFill="0" applyBorder="0" applyAlignment="0" applyProtection="0"/>
    <xf numFmtId="208" fontId="117" fillId="0" borderId="0" applyFont="0" applyFill="0" applyBorder="0" applyAlignment="0" applyProtection="0"/>
    <xf numFmtId="0" fontId="118" fillId="0" borderId="0"/>
    <xf numFmtId="0" fontId="89" fillId="0" borderId="0"/>
    <xf numFmtId="172" fontId="40" fillId="0" borderId="0" applyFont="0" applyFill="0" applyBorder="0" applyAlignment="0" applyProtection="0"/>
    <xf numFmtId="173" fontId="40" fillId="0" borderId="0" applyFont="0" applyFill="0" applyBorder="0" applyAlignment="0" applyProtection="0"/>
    <xf numFmtId="0" fontId="25" fillId="0" borderId="0"/>
    <xf numFmtId="209" fontId="40" fillId="0" borderId="0" applyFont="0" applyFill="0" applyBorder="0" applyAlignment="0" applyProtection="0"/>
    <xf numFmtId="6" fontId="54" fillId="0" borderId="0" applyFont="0" applyFill="0" applyBorder="0" applyAlignment="0" applyProtection="0"/>
    <xf numFmtId="185" fontId="40"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873">
    <xf numFmtId="0" fontId="0" fillId="0" borderId="0" xfId="0"/>
    <xf numFmtId="0" fontId="8" fillId="2" borderId="0" xfId="1" applyFont="1" applyFill="1"/>
    <xf numFmtId="0" fontId="6" fillId="0" borderId="0" xfId="1"/>
    <xf numFmtId="0" fontId="6" fillId="2" borderId="0" xfId="1" applyFill="1"/>
    <xf numFmtId="0" fontId="6" fillId="3" borderId="3" xfId="1" applyFill="1" applyBorder="1"/>
    <xf numFmtId="0" fontId="9" fillId="4" borderId="4" xfId="1" applyFont="1" applyFill="1" applyBorder="1" applyAlignment="1">
      <alignment horizontal="center"/>
    </xf>
    <xf numFmtId="0" fontId="10" fillId="5" borderId="5" xfId="1" applyFont="1" applyFill="1" applyBorder="1" applyAlignment="1">
      <alignment horizontal="center"/>
    </xf>
    <xf numFmtId="0" fontId="9" fillId="4" borderId="5" xfId="1" applyFont="1" applyFill="1" applyBorder="1" applyAlignment="1">
      <alignment horizontal="center"/>
    </xf>
    <xf numFmtId="0" fontId="9" fillId="4" borderId="6" xfId="1" applyFont="1" applyFill="1" applyBorder="1" applyAlignment="1">
      <alignment horizontal="center"/>
    </xf>
    <xf numFmtId="0" fontId="6" fillId="3" borderId="7" xfId="1" applyFill="1" applyBorder="1"/>
    <xf numFmtId="0" fontId="6" fillId="3" borderId="8" xfId="1" applyFill="1" applyBorder="1"/>
    <xf numFmtId="0" fontId="12" fillId="0" borderId="9" xfId="10" applyFont="1" applyFill="1" applyBorder="1" applyAlignment="1">
      <alignment horizontal="center" vertical="center" wrapText="1"/>
    </xf>
    <xf numFmtId="165" fontId="12" fillId="0" borderId="9" xfId="10" applyNumberFormat="1" applyFont="1" applyFill="1" applyBorder="1" applyAlignment="1">
      <alignment vertical="center" wrapText="1"/>
    </xf>
    <xf numFmtId="0" fontId="19" fillId="0" borderId="9" xfId="0" applyFont="1" applyFill="1" applyBorder="1" applyAlignment="1">
      <alignment vertical="center"/>
    </xf>
    <xf numFmtId="0" fontId="11" fillId="0" borderId="0" xfId="9" applyFont="1" applyFill="1" applyBorder="1" applyAlignment="1">
      <alignment horizontal="center" vertical="center"/>
    </xf>
    <xf numFmtId="0" fontId="11" fillId="0" borderId="0" xfId="9" applyFont="1" applyFill="1" applyBorder="1" applyAlignment="1">
      <alignment vertical="center"/>
    </xf>
    <xf numFmtId="164" fontId="12" fillId="0" borderId="0" xfId="2" applyNumberFormat="1" applyFont="1" applyAlignment="1">
      <alignment vertical="center"/>
    </xf>
    <xf numFmtId="0" fontId="11" fillId="0" borderId="0" xfId="0" applyFont="1" applyFill="1" applyAlignment="1">
      <alignment vertical="center"/>
    </xf>
    <xf numFmtId="0" fontId="12" fillId="0" borderId="0" xfId="0" applyFont="1" applyFill="1" applyAlignment="1">
      <alignment vertical="center"/>
    </xf>
    <xf numFmtId="164" fontId="12" fillId="0" borderId="0" xfId="2" applyNumberFormat="1" applyFont="1" applyFill="1" applyAlignment="1">
      <alignment vertical="center"/>
    </xf>
    <xf numFmtId="0" fontId="20" fillId="0" borderId="0" xfId="0" applyFont="1" applyFill="1" applyAlignment="1">
      <alignment vertical="center"/>
    </xf>
    <xf numFmtId="0" fontId="14" fillId="0" borderId="0" xfId="0" applyFont="1" applyFill="1" applyAlignment="1">
      <alignment vertical="center"/>
    </xf>
    <xf numFmtId="0" fontId="23" fillId="0" borderId="0" xfId="0" applyFont="1" applyFill="1" applyAlignment="1">
      <alignment vertical="center"/>
    </xf>
    <xf numFmtId="0" fontId="11" fillId="0" borderId="10" xfId="0" applyFont="1" applyFill="1" applyBorder="1" applyAlignment="1">
      <alignment horizontal="center" vertical="center"/>
    </xf>
    <xf numFmtId="0" fontId="11" fillId="0" borderId="10" xfId="0" applyFont="1" applyFill="1" applyBorder="1" applyAlignment="1">
      <alignment vertical="center"/>
    </xf>
    <xf numFmtId="164" fontId="11" fillId="0" borderId="10" xfId="2" applyNumberFormat="1" applyFont="1" applyFill="1" applyBorder="1" applyAlignment="1">
      <alignment vertical="center"/>
    </xf>
    <xf numFmtId="164" fontId="12" fillId="0" borderId="10" xfId="2" applyNumberFormat="1" applyFont="1" applyFill="1" applyBorder="1" applyAlignment="1">
      <alignment vertical="center"/>
    </xf>
    <xf numFmtId="37" fontId="12" fillId="0" borderId="10" xfId="2" applyNumberFormat="1" applyFont="1" applyFill="1" applyBorder="1" applyAlignment="1">
      <alignment vertical="center"/>
    </xf>
    <xf numFmtId="0" fontId="19" fillId="0" borderId="9" xfId="0" applyFont="1" applyFill="1" applyBorder="1" applyAlignment="1">
      <alignment horizontal="center" vertical="center"/>
    </xf>
    <xf numFmtId="164" fontId="11" fillId="0" borderId="9" xfId="2" applyNumberFormat="1" applyFont="1" applyFill="1" applyBorder="1" applyAlignment="1">
      <alignment horizontal="right" vertical="center"/>
    </xf>
    <xf numFmtId="164" fontId="12" fillId="0" borderId="9" xfId="2" applyNumberFormat="1" applyFont="1" applyFill="1" applyBorder="1" applyAlignment="1">
      <alignment vertical="center"/>
    </xf>
    <xf numFmtId="37" fontId="12" fillId="0" borderId="9" xfId="2" applyNumberFormat="1" applyFont="1" applyFill="1" applyBorder="1" applyAlignment="1">
      <alignment vertical="center"/>
    </xf>
    <xf numFmtId="164" fontId="12" fillId="0" borderId="9" xfId="2" applyNumberFormat="1" applyFont="1" applyFill="1" applyBorder="1" applyAlignment="1">
      <alignment horizontal="right" vertical="center"/>
    </xf>
    <xf numFmtId="0" fontId="12" fillId="0" borderId="9" xfId="0" applyFont="1" applyFill="1" applyBorder="1" applyAlignment="1">
      <alignment vertical="center"/>
    </xf>
    <xf numFmtId="164" fontId="11" fillId="0" borderId="9" xfId="2" applyNumberFormat="1" applyFont="1" applyFill="1" applyBorder="1" applyAlignment="1">
      <alignment vertical="center"/>
    </xf>
    <xf numFmtId="0" fontId="24" fillId="0" borderId="9" xfId="0" applyFont="1" applyFill="1" applyBorder="1" applyAlignment="1">
      <alignment horizontal="center" vertical="center"/>
    </xf>
    <xf numFmtId="0" fontId="24" fillId="0" borderId="9" xfId="0" applyFont="1" applyFill="1" applyBorder="1" applyAlignment="1">
      <alignment vertical="center"/>
    </xf>
    <xf numFmtId="164" fontId="20" fillId="0" borderId="0" xfId="2" applyNumberFormat="1" applyFont="1" applyFill="1" applyAlignment="1">
      <alignment vertical="center"/>
    </xf>
    <xf numFmtId="0" fontId="12" fillId="0" borderId="0" xfId="0" applyFont="1" applyAlignment="1">
      <alignment vertical="center"/>
    </xf>
    <xf numFmtId="0" fontId="20" fillId="0" borderId="0" xfId="0" applyFont="1" applyAlignment="1">
      <alignment vertical="center"/>
    </xf>
    <xf numFmtId="0" fontId="12" fillId="0" borderId="0" xfId="0" applyFont="1" applyAlignment="1">
      <alignment horizontal="right" vertical="center"/>
    </xf>
    <xf numFmtId="0" fontId="12" fillId="0" borderId="0" xfId="0" applyFont="1" applyAlignment="1">
      <alignment horizontal="centerContinuous" vertical="center"/>
    </xf>
    <xf numFmtId="164" fontId="12" fillId="0" borderId="0" xfId="2" applyNumberFormat="1" applyFont="1" applyBorder="1" applyAlignment="1">
      <alignment vertical="center"/>
    </xf>
    <xf numFmtId="0" fontId="25" fillId="0" borderId="11" xfId="0" applyFont="1" applyBorder="1" applyAlignment="1">
      <alignment vertical="center"/>
    </xf>
    <xf numFmtId="0" fontId="25" fillId="0" borderId="12" xfId="0" applyFont="1" applyBorder="1" applyAlignment="1">
      <alignment horizontal="center" vertical="center"/>
    </xf>
    <xf numFmtId="0" fontId="25" fillId="0" borderId="13" xfId="0" quotePrefix="1" applyFont="1" applyBorder="1" applyAlignment="1">
      <alignment horizontal="center" vertical="center"/>
    </xf>
    <xf numFmtId="0" fontId="25" fillId="0" borderId="14" xfId="0" quotePrefix="1" applyFont="1" applyBorder="1" applyAlignment="1">
      <alignment horizontal="center" vertical="center"/>
    </xf>
    <xf numFmtId="0" fontId="25" fillId="0" borderId="15" xfId="0" quotePrefix="1" applyFont="1" applyBorder="1" applyAlignment="1">
      <alignment horizontal="center" vertical="center"/>
    </xf>
    <xf numFmtId="0" fontId="26" fillId="0" borderId="17" xfId="0" applyFont="1" applyBorder="1" applyAlignment="1">
      <alignment horizontal="center" vertical="center"/>
    </xf>
    <xf numFmtId="0" fontId="26" fillId="0" borderId="18" xfId="0" applyFont="1" applyBorder="1" applyAlignment="1">
      <alignment horizontal="center" vertical="center"/>
    </xf>
    <xf numFmtId="0" fontId="25" fillId="0" borderId="14" xfId="0" applyFont="1" applyBorder="1" applyAlignment="1">
      <alignment horizontal="center" vertical="center"/>
    </xf>
    <xf numFmtId="0" fontId="26" fillId="0" borderId="14" xfId="0" applyFont="1" applyBorder="1" applyAlignment="1">
      <alignment vertical="center"/>
    </xf>
    <xf numFmtId="164" fontId="26" fillId="0" borderId="14" xfId="2" applyNumberFormat="1" applyFont="1" applyBorder="1" applyAlignment="1">
      <alignment vertical="center"/>
    </xf>
    <xf numFmtId="0" fontId="12" fillId="0" borderId="19" xfId="0" applyFont="1" applyBorder="1" applyAlignment="1">
      <alignment vertical="center"/>
    </xf>
    <xf numFmtId="0" fontId="12" fillId="0" borderId="0" xfId="0" applyFont="1" applyBorder="1" applyAlignment="1">
      <alignment vertical="center"/>
    </xf>
    <xf numFmtId="0" fontId="25" fillId="0" borderId="14" xfId="0" applyFont="1" applyBorder="1" applyAlignment="1">
      <alignment vertical="center"/>
    </xf>
    <xf numFmtId="0" fontId="12" fillId="0" borderId="0" xfId="0" applyFont="1" applyBorder="1" applyAlignment="1">
      <alignment horizontal="center" vertical="center"/>
    </xf>
    <xf numFmtId="0" fontId="14" fillId="0" borderId="0" xfId="0" applyFont="1" applyBorder="1" applyAlignment="1">
      <alignment vertical="center"/>
    </xf>
    <xf numFmtId="0" fontId="12" fillId="0" borderId="0" xfId="6" applyFont="1" applyFill="1" applyAlignment="1">
      <alignment vertical="center"/>
    </xf>
    <xf numFmtId="0" fontId="12" fillId="0" borderId="0" xfId="6" applyFont="1" applyFill="1" applyAlignment="1">
      <alignment horizontal="center" vertical="center"/>
    </xf>
    <xf numFmtId="0" fontId="12" fillId="0" borderId="12" xfId="6" applyFont="1" applyFill="1" applyBorder="1" applyAlignment="1">
      <alignment vertical="center"/>
    </xf>
    <xf numFmtId="0" fontId="12" fillId="0" borderId="0" xfId="6" applyFont="1" applyFill="1" applyBorder="1" applyAlignment="1">
      <alignment vertical="center"/>
    </xf>
    <xf numFmtId="0" fontId="12" fillId="0" borderId="7" xfId="6" applyFont="1" applyFill="1" applyBorder="1" applyAlignment="1">
      <alignment horizontal="center" vertical="center"/>
    </xf>
    <xf numFmtId="0" fontId="12" fillId="0" borderId="2" xfId="6" applyFont="1" applyFill="1" applyBorder="1" applyAlignment="1">
      <alignment horizontal="centerContinuous" vertical="center"/>
    </xf>
    <xf numFmtId="0" fontId="12" fillId="0" borderId="20" xfId="6" applyFont="1" applyFill="1" applyBorder="1" applyAlignment="1">
      <alignment horizontal="centerContinuous" vertical="center"/>
    </xf>
    <xf numFmtId="0" fontId="12" fillId="0" borderId="0" xfId="6" applyFont="1" applyFill="1" applyBorder="1" applyAlignment="1">
      <alignment horizontal="center" vertical="center"/>
    </xf>
    <xf numFmtId="0" fontId="22" fillId="0" borderId="21" xfId="6" applyFont="1" applyFill="1" applyBorder="1" applyAlignment="1">
      <alignment horizontal="center" vertical="center"/>
    </xf>
    <xf numFmtId="0" fontId="22" fillId="0" borderId="21" xfId="6" quotePrefix="1" applyFont="1" applyFill="1" applyBorder="1" applyAlignment="1">
      <alignment horizontal="center" vertical="center"/>
    </xf>
    <xf numFmtId="0" fontId="22" fillId="0" borderId="14" xfId="6" quotePrefix="1" applyFont="1" applyFill="1" applyBorder="1" applyAlignment="1">
      <alignment horizontal="center" vertical="center"/>
    </xf>
    <xf numFmtId="0" fontId="29" fillId="0" borderId="0" xfId="6" applyFont="1" applyFill="1" applyAlignment="1">
      <alignment vertical="center"/>
    </xf>
    <xf numFmtId="164" fontId="12" fillId="0" borderId="0" xfId="2" applyNumberFormat="1" applyFont="1" applyFill="1" applyBorder="1" applyAlignment="1">
      <alignment vertical="center"/>
    </xf>
    <xf numFmtId="164" fontId="11" fillId="0" borderId="0" xfId="2" applyNumberFormat="1" applyFont="1" applyFill="1" applyBorder="1" applyAlignment="1">
      <alignment vertical="center"/>
    </xf>
    <xf numFmtId="0" fontId="26" fillId="0" borderId="7" xfId="0" applyFont="1" applyBorder="1" applyAlignment="1">
      <alignment horizontal="center" vertical="center"/>
    </xf>
    <xf numFmtId="0" fontId="26" fillId="0" borderId="15" xfId="0" applyFont="1" applyBorder="1" applyAlignment="1">
      <alignment horizontal="center" vertical="center"/>
    </xf>
    <xf numFmtId="0" fontId="30" fillId="0" borderId="17" xfId="0" applyFont="1" applyFill="1" applyBorder="1" applyAlignment="1">
      <alignment horizontal="center" vertical="center"/>
    </xf>
    <xf numFmtId="0" fontId="26" fillId="0" borderId="17" xfId="0" applyFont="1" applyFill="1" applyBorder="1" applyAlignment="1">
      <alignment horizontal="center" vertical="center"/>
    </xf>
    <xf numFmtId="0" fontId="26" fillId="0" borderId="13" xfId="0" applyFont="1" applyFill="1" applyBorder="1" applyAlignment="1">
      <alignment horizontal="center" vertical="center"/>
    </xf>
    <xf numFmtId="164" fontId="24" fillId="0" borderId="9" xfId="2" applyNumberFormat="1" applyFont="1" applyFill="1" applyBorder="1" applyAlignment="1">
      <alignment vertical="center"/>
    </xf>
    <xf numFmtId="164" fontId="19" fillId="0" borderId="9" xfId="2" applyNumberFormat="1" applyFont="1" applyFill="1" applyBorder="1" applyAlignment="1">
      <alignment vertical="center"/>
    </xf>
    <xf numFmtId="0" fontId="19" fillId="0" borderId="9" xfId="0" applyFont="1" applyFill="1" applyBorder="1" applyAlignment="1">
      <alignment horizontal="left" vertical="center"/>
    </xf>
    <xf numFmtId="0" fontId="21" fillId="0" borderId="14" xfId="0" applyFont="1" applyFill="1" applyBorder="1" applyAlignment="1">
      <alignment horizontal="center" vertical="center"/>
    </xf>
    <xf numFmtId="0" fontId="21" fillId="0" borderId="20" xfId="0" quotePrefix="1" applyFont="1" applyFill="1" applyBorder="1" applyAlignment="1">
      <alignment horizontal="center" vertical="center"/>
    </xf>
    <xf numFmtId="0" fontId="21" fillId="0" borderId="14" xfId="0" quotePrefix="1" applyFont="1" applyFill="1" applyBorder="1" applyAlignment="1">
      <alignment horizontal="center" vertical="center"/>
    </xf>
    <xf numFmtId="164" fontId="20" fillId="0" borderId="0" xfId="2" applyNumberFormat="1" applyFont="1" applyFill="1" applyAlignment="1">
      <alignment horizontal="right" vertical="center"/>
    </xf>
    <xf numFmtId="0" fontId="24" fillId="0" borderId="0" xfId="0" applyFont="1" applyFill="1" applyAlignment="1">
      <alignment vertical="center"/>
    </xf>
    <xf numFmtId="49" fontId="11" fillId="0" borderId="22" xfId="6" applyNumberFormat="1" applyFont="1" applyFill="1" applyBorder="1" applyAlignment="1">
      <alignment horizontal="center" vertical="center"/>
    </xf>
    <xf numFmtId="164" fontId="11" fillId="0" borderId="22" xfId="2" quotePrefix="1" applyNumberFormat="1" applyFont="1" applyFill="1" applyBorder="1" applyAlignment="1">
      <alignment horizontal="center" vertical="center"/>
    </xf>
    <xf numFmtId="49" fontId="11" fillId="0" borderId="23" xfId="6" applyNumberFormat="1" applyFont="1" applyFill="1" applyBorder="1" applyAlignment="1">
      <alignment horizontal="center" vertical="center"/>
    </xf>
    <xf numFmtId="49" fontId="11" fillId="0" borderId="23" xfId="6" applyNumberFormat="1" applyFont="1" applyFill="1" applyBorder="1" applyAlignment="1">
      <alignment horizontal="left" vertical="center"/>
    </xf>
    <xf numFmtId="164" fontId="11" fillId="0" borderId="23" xfId="2" quotePrefix="1" applyNumberFormat="1" applyFont="1" applyFill="1" applyBorder="1" applyAlignment="1">
      <alignment horizontal="center" vertical="center"/>
    </xf>
    <xf numFmtId="49" fontId="11" fillId="0" borderId="23" xfId="6" applyNumberFormat="1" applyFont="1" applyFill="1" applyBorder="1" applyAlignment="1">
      <alignment horizontal="center" vertical="center" wrapText="1"/>
    </xf>
    <xf numFmtId="49" fontId="11" fillId="0" borderId="23" xfId="11" applyNumberFormat="1" applyFont="1" applyBorder="1" applyAlignment="1">
      <alignment vertical="center" wrapText="1"/>
    </xf>
    <xf numFmtId="49" fontId="12" fillId="0" borderId="23" xfId="6" applyNumberFormat="1" applyFont="1" applyFill="1" applyBorder="1" applyAlignment="1">
      <alignment horizontal="center" vertical="center"/>
    </xf>
    <xf numFmtId="49" fontId="12" fillId="0" borderId="23" xfId="11" quotePrefix="1" applyNumberFormat="1" applyFont="1" applyBorder="1" applyAlignment="1">
      <alignment vertical="center" wrapText="1"/>
    </xf>
    <xf numFmtId="164" fontId="12" fillId="0" borderId="23" xfId="2" applyNumberFormat="1" applyFont="1" applyFill="1" applyBorder="1" applyAlignment="1">
      <alignment vertical="center"/>
    </xf>
    <xf numFmtId="49" fontId="14" fillId="0" borderId="23" xfId="6" applyNumberFormat="1" applyFont="1" applyFill="1" applyBorder="1" applyAlignment="1">
      <alignment horizontal="center" vertical="center"/>
    </xf>
    <xf numFmtId="164" fontId="11" fillId="0" borderId="23" xfId="2" applyNumberFormat="1" applyFont="1" applyFill="1" applyBorder="1" applyAlignment="1">
      <alignment vertical="center"/>
    </xf>
    <xf numFmtId="49" fontId="13" fillId="0" borderId="23" xfId="6" applyNumberFormat="1" applyFont="1" applyFill="1" applyBorder="1" applyAlignment="1">
      <alignment horizontal="center" vertical="center"/>
    </xf>
    <xf numFmtId="49" fontId="11" fillId="0" borderId="23" xfId="11" applyNumberFormat="1" applyFont="1" applyBorder="1" applyAlignment="1">
      <alignment horizontal="left" vertical="center" wrapText="1"/>
    </xf>
    <xf numFmtId="49" fontId="14" fillId="0" borderId="23" xfId="11" applyNumberFormat="1" applyFont="1" applyBorder="1" applyAlignment="1">
      <alignment vertical="center" wrapText="1"/>
    </xf>
    <xf numFmtId="0" fontId="14" fillId="0" borderId="23" xfId="6" applyNumberFormat="1" applyFont="1" applyFill="1" applyBorder="1" applyAlignment="1">
      <alignment horizontal="center" vertical="center"/>
    </xf>
    <xf numFmtId="0" fontId="11" fillId="0" borderId="23" xfId="11" applyFont="1" applyBorder="1" applyAlignment="1">
      <alignment vertical="center" wrapText="1"/>
    </xf>
    <xf numFmtId="0" fontId="14" fillId="0" borderId="23" xfId="11" quotePrefix="1" applyFont="1" applyBorder="1" applyAlignment="1">
      <alignment vertical="center" wrapText="1"/>
    </xf>
    <xf numFmtId="0" fontId="12" fillId="0" borderId="23" xfId="6" applyFont="1" applyFill="1" applyBorder="1" applyAlignment="1">
      <alignment horizontal="center" vertical="center"/>
    </xf>
    <xf numFmtId="49" fontId="11" fillId="0" borderId="23" xfId="6" applyNumberFormat="1" applyFont="1" applyFill="1" applyBorder="1" applyAlignment="1">
      <alignment vertical="center"/>
    </xf>
    <xf numFmtId="49" fontId="12" fillId="0" borderId="23" xfId="6" applyNumberFormat="1" applyFont="1" applyFill="1" applyBorder="1" applyAlignment="1">
      <alignment horizontal="left" vertical="center"/>
    </xf>
    <xf numFmtId="0" fontId="11" fillId="0" borderId="23" xfId="6" applyFont="1" applyFill="1" applyBorder="1" applyAlignment="1">
      <alignment horizontal="center" vertical="center"/>
    </xf>
    <xf numFmtId="0" fontId="12" fillId="0" borderId="23" xfId="6" applyNumberFormat="1" applyFont="1" applyFill="1" applyBorder="1" applyAlignment="1">
      <alignment horizontal="left" vertical="center"/>
    </xf>
    <xf numFmtId="0" fontId="11" fillId="0" borderId="23" xfId="6" applyNumberFormat="1" applyFont="1" applyFill="1" applyBorder="1" applyAlignment="1">
      <alignment horizontal="left" vertical="center"/>
    </xf>
    <xf numFmtId="0" fontId="11" fillId="0" borderId="23" xfId="6" applyNumberFormat="1" applyFont="1" applyFill="1" applyBorder="1" applyAlignment="1">
      <alignment vertical="center"/>
    </xf>
    <xf numFmtId="0" fontId="12" fillId="0" borderId="23" xfId="6" applyNumberFormat="1" applyFont="1" applyFill="1" applyBorder="1" applyAlignment="1">
      <alignment vertical="center"/>
    </xf>
    <xf numFmtId="0" fontId="14" fillId="0" borderId="23" xfId="6" applyFont="1" applyFill="1" applyBorder="1" applyAlignment="1">
      <alignment horizontal="center" vertical="center"/>
    </xf>
    <xf numFmtId="0" fontId="14" fillId="0" borderId="23" xfId="6" applyNumberFormat="1" applyFont="1" applyFill="1" applyBorder="1" applyAlignment="1">
      <alignment vertical="center"/>
    </xf>
    <xf numFmtId="0" fontId="11" fillId="0" borderId="23" xfId="9" applyFont="1" applyFill="1" applyBorder="1" applyAlignment="1">
      <alignment horizontal="center" vertical="center"/>
    </xf>
    <xf numFmtId="0" fontId="11" fillId="0" borderId="23" xfId="9" applyFont="1" applyFill="1" applyBorder="1" applyAlignment="1">
      <alignment vertical="center"/>
    </xf>
    <xf numFmtId="164" fontId="12" fillId="0" borderId="23" xfId="2" quotePrefix="1" applyNumberFormat="1" applyFont="1" applyFill="1" applyBorder="1" applyAlignment="1">
      <alignment horizontal="center" vertical="center"/>
    </xf>
    <xf numFmtId="0" fontId="18" fillId="0" borderId="0" xfId="6" applyFont="1" applyFill="1" applyAlignment="1">
      <alignment horizontal="left" vertical="center"/>
    </xf>
    <xf numFmtId="164" fontId="12" fillId="0" borderId="0" xfId="6" applyNumberFormat="1" applyFont="1" applyFill="1" applyAlignment="1">
      <alignment vertical="center"/>
    </xf>
    <xf numFmtId="0" fontId="11" fillId="0" borderId="0" xfId="0" applyFont="1" applyAlignment="1">
      <alignment vertical="center"/>
    </xf>
    <xf numFmtId="164" fontId="26" fillId="0" borderId="14" xfId="0" applyNumberFormat="1" applyFont="1" applyBorder="1" applyAlignment="1">
      <alignment horizontal="center" vertical="center"/>
    </xf>
    <xf numFmtId="0" fontId="12" fillId="0" borderId="0" xfId="6" applyNumberFormat="1" applyFont="1" applyFill="1" applyBorder="1" applyAlignment="1">
      <alignment horizontal="left" vertical="center"/>
    </xf>
    <xf numFmtId="164" fontId="11" fillId="0" borderId="0" xfId="2" quotePrefix="1" applyNumberFormat="1" applyFont="1" applyFill="1" applyBorder="1" applyAlignment="1">
      <alignment horizontal="center" vertical="center"/>
    </xf>
    <xf numFmtId="0" fontId="24" fillId="0" borderId="0" xfId="0" applyFont="1" applyAlignment="1">
      <alignment vertical="center"/>
    </xf>
    <xf numFmtId="164" fontId="24" fillId="0" borderId="0" xfId="2" applyNumberFormat="1" applyFont="1" applyAlignment="1">
      <alignment vertical="center"/>
    </xf>
    <xf numFmtId="164" fontId="11" fillId="0" borderId="7" xfId="2" quotePrefix="1" applyNumberFormat="1" applyFont="1" applyFill="1" applyBorder="1" applyAlignment="1">
      <alignment horizontal="center" vertical="center"/>
    </xf>
    <xf numFmtId="49" fontId="11" fillId="0" borderId="27" xfId="6" applyNumberFormat="1" applyFont="1" applyFill="1" applyBorder="1" applyAlignment="1">
      <alignment horizontal="center" vertical="center"/>
    </xf>
    <xf numFmtId="49" fontId="11" fillId="0" borderId="27" xfId="6" applyNumberFormat="1" applyFont="1" applyFill="1" applyBorder="1" applyAlignment="1">
      <alignment horizontal="left" vertical="center"/>
    </xf>
    <xf numFmtId="164" fontId="11" fillId="0" borderId="27" xfId="2" quotePrefix="1" applyNumberFormat="1" applyFont="1" applyFill="1" applyBorder="1" applyAlignment="1">
      <alignment horizontal="center" vertical="center"/>
    </xf>
    <xf numFmtId="49" fontId="11" fillId="0" borderId="26" xfId="6" applyNumberFormat="1" applyFont="1" applyFill="1" applyBorder="1" applyAlignment="1">
      <alignment horizontal="center" vertical="center"/>
    </xf>
    <xf numFmtId="49" fontId="11" fillId="0" borderId="26" xfId="6" applyNumberFormat="1" applyFont="1" applyFill="1" applyBorder="1" applyAlignment="1">
      <alignment horizontal="left" vertical="center"/>
    </xf>
    <xf numFmtId="164" fontId="11" fillId="0" borderId="26" xfId="2" quotePrefix="1" applyNumberFormat="1" applyFont="1" applyFill="1" applyBorder="1" applyAlignment="1">
      <alignment horizontal="center" vertical="center"/>
    </xf>
    <xf numFmtId="0" fontId="12" fillId="0" borderId="28" xfId="6" applyFont="1" applyFill="1" applyBorder="1" applyAlignment="1">
      <alignment horizontal="center" vertical="center"/>
    </xf>
    <xf numFmtId="0" fontId="12" fillId="0" borderId="28" xfId="6" applyNumberFormat="1" applyFont="1" applyFill="1" applyBorder="1" applyAlignment="1">
      <alignment horizontal="left" vertical="center"/>
    </xf>
    <xf numFmtId="164" fontId="12" fillId="0" borderId="28" xfId="2" applyNumberFormat="1" applyFont="1" applyFill="1" applyBorder="1" applyAlignment="1">
      <alignment vertical="center"/>
    </xf>
    <xf numFmtId="164" fontId="11" fillId="0" borderId="28" xfId="2" quotePrefix="1" applyNumberFormat="1" applyFont="1" applyFill="1" applyBorder="1" applyAlignment="1">
      <alignment horizontal="center" vertical="center"/>
    </xf>
    <xf numFmtId="164" fontId="12" fillId="0" borderId="28" xfId="2" quotePrefix="1" applyNumberFormat="1" applyFont="1" applyFill="1" applyBorder="1" applyAlignment="1">
      <alignment horizontal="center" vertical="center"/>
    </xf>
    <xf numFmtId="0" fontId="12" fillId="0" borderId="29" xfId="6" applyFont="1" applyFill="1" applyBorder="1" applyAlignment="1">
      <alignment horizontal="center" vertical="center"/>
    </xf>
    <xf numFmtId="0" fontId="12" fillId="0" borderId="29" xfId="6" applyNumberFormat="1" applyFont="1" applyFill="1" applyBorder="1" applyAlignment="1">
      <alignment horizontal="left" vertical="center"/>
    </xf>
    <xf numFmtId="164" fontId="12" fillId="0" borderId="29" xfId="2" applyNumberFormat="1" applyFont="1" applyFill="1" applyBorder="1" applyAlignment="1">
      <alignment vertical="center"/>
    </xf>
    <xf numFmtId="164" fontId="11" fillId="0" borderId="29" xfId="2" quotePrefix="1" applyNumberFormat="1" applyFont="1" applyFill="1" applyBorder="1" applyAlignment="1">
      <alignment horizontal="center" vertical="center"/>
    </xf>
    <xf numFmtId="164" fontId="12" fillId="0" borderId="29" xfId="2" quotePrefix="1" applyNumberFormat="1" applyFont="1" applyFill="1" applyBorder="1" applyAlignment="1">
      <alignment horizontal="center" vertical="center"/>
    </xf>
    <xf numFmtId="164" fontId="20" fillId="0" borderId="19" xfId="2" applyNumberFormat="1" applyFont="1" applyFill="1" applyBorder="1" applyAlignment="1">
      <alignment vertical="center"/>
    </xf>
    <xf numFmtId="164" fontId="18" fillId="0" borderId="0" xfId="2" applyNumberFormat="1" applyFont="1" applyFill="1" applyAlignment="1">
      <alignment vertical="center"/>
    </xf>
    <xf numFmtId="0" fontId="18" fillId="0" borderId="0" xfId="0" applyFont="1" applyAlignment="1">
      <alignment horizontal="centerContinuous" vertical="center"/>
    </xf>
    <xf numFmtId="0" fontId="18" fillId="0" borderId="0" xfId="0" applyFont="1" applyAlignment="1">
      <alignment horizontal="left" vertical="center"/>
    </xf>
    <xf numFmtId="0" fontId="18" fillId="0" borderId="0" xfId="0" quotePrefix="1" applyFont="1" applyAlignment="1">
      <alignment horizontal="centerContinuous" vertical="center"/>
    </xf>
    <xf numFmtId="0" fontId="27" fillId="0" borderId="0" xfId="0" applyFont="1" applyAlignment="1">
      <alignment horizontal="left" vertical="center"/>
    </xf>
    <xf numFmtId="0" fontId="18" fillId="0" borderId="18" xfId="0" applyFont="1" applyBorder="1" applyAlignment="1">
      <alignment horizontal="centerContinuous" vertical="center"/>
    </xf>
    <xf numFmtId="0" fontId="30" fillId="0" borderId="20" xfId="0" applyFont="1" applyBorder="1" applyAlignment="1">
      <alignment horizontal="center" vertical="center"/>
    </xf>
    <xf numFmtId="0" fontId="30" fillId="0" borderId="14" xfId="0" applyFont="1" applyBorder="1" applyAlignment="1">
      <alignment horizontal="center" vertical="center"/>
    </xf>
    <xf numFmtId="0" fontId="30" fillId="0" borderId="0" xfId="0" applyFont="1" applyAlignment="1">
      <alignment vertical="center"/>
    </xf>
    <xf numFmtId="0" fontId="27" fillId="0" borderId="0" xfId="0" applyFont="1" applyAlignment="1">
      <alignment vertical="center"/>
    </xf>
    <xf numFmtId="0" fontId="38" fillId="0" borderId="0" xfId="0" applyFont="1" applyAlignment="1">
      <alignment vertical="center"/>
    </xf>
    <xf numFmtId="0" fontId="18" fillId="0" borderId="0" xfId="0" applyFont="1" applyFill="1" applyAlignment="1">
      <alignment vertical="center"/>
    </xf>
    <xf numFmtId="0" fontId="30" fillId="0" borderId="20" xfId="6" applyFont="1" applyBorder="1" applyAlignment="1">
      <alignment horizontal="center" vertical="center"/>
    </xf>
    <xf numFmtId="0" fontId="30" fillId="0" borderId="14" xfId="6" applyFont="1" applyBorder="1" applyAlignment="1">
      <alignment horizontal="center" vertical="center"/>
    </xf>
    <xf numFmtId="0" fontId="30" fillId="0" borderId="0" xfId="6" applyFont="1" applyAlignment="1">
      <alignment vertical="center"/>
    </xf>
    <xf numFmtId="0" fontId="18" fillId="0" borderId="7" xfId="0" applyFont="1" applyBorder="1" applyAlignment="1">
      <alignment horizontal="center" vertical="center" wrapText="1"/>
    </xf>
    <xf numFmtId="0" fontId="18" fillId="0" borderId="18" xfId="0" applyFont="1" applyBorder="1" applyAlignment="1">
      <alignment horizontal="center" vertical="center" wrapText="1"/>
    </xf>
    <xf numFmtId="0" fontId="11" fillId="0" borderId="7" xfId="6" applyFont="1" applyFill="1" applyBorder="1" applyAlignment="1">
      <alignment horizontal="center" vertical="center"/>
    </xf>
    <xf numFmtId="0" fontId="11" fillId="0" borderId="2" xfId="6" applyFont="1" applyFill="1" applyBorder="1" applyAlignment="1">
      <alignment horizontal="centerContinuous" vertical="center"/>
    </xf>
    <xf numFmtId="0" fontId="11" fillId="0" borderId="20" xfId="6" applyFont="1" applyFill="1" applyBorder="1" applyAlignment="1">
      <alignment horizontal="centerContinuous" vertical="center"/>
    </xf>
    <xf numFmtId="0" fontId="11" fillId="0" borderId="17" xfId="6" applyFont="1" applyFill="1" applyBorder="1" applyAlignment="1">
      <alignment horizontal="center" vertical="center"/>
    </xf>
    <xf numFmtId="0" fontId="11" fillId="0" borderId="0" xfId="6" applyFont="1" applyFill="1" applyBorder="1" applyAlignment="1">
      <alignment horizontal="center" vertical="center"/>
    </xf>
    <xf numFmtId="0" fontId="11" fillId="0" borderId="12" xfId="6" applyFont="1" applyFill="1" applyBorder="1" applyAlignment="1">
      <alignment horizontal="center" vertical="center"/>
    </xf>
    <xf numFmtId="0" fontId="11" fillId="0" borderId="15" xfId="6" applyFont="1" applyFill="1" applyBorder="1" applyAlignment="1">
      <alignment horizontal="center" vertical="center"/>
    </xf>
    <xf numFmtId="0" fontId="11" fillId="0" borderId="18" xfId="6" applyFont="1" applyFill="1" applyBorder="1" applyAlignment="1">
      <alignment horizontal="centerContinuous" vertical="center"/>
    </xf>
    <xf numFmtId="0" fontId="20" fillId="0" borderId="0" xfId="0" applyFont="1" applyBorder="1" applyAlignment="1">
      <alignment vertical="center"/>
    </xf>
    <xf numFmtId="0" fontId="18" fillId="0" borderId="30" xfId="0" applyFont="1" applyBorder="1" applyAlignment="1">
      <alignment horizontal="center" vertical="center"/>
    </xf>
    <xf numFmtId="0" fontId="37" fillId="0" borderId="30" xfId="0" applyFont="1" applyBorder="1" applyAlignment="1">
      <alignment vertical="center"/>
    </xf>
    <xf numFmtId="3" fontId="20" fillId="0" borderId="30" xfId="0" applyNumberFormat="1" applyFont="1" applyBorder="1" applyAlignment="1">
      <alignment vertical="center"/>
    </xf>
    <xf numFmtId="0" fontId="18" fillId="0" borderId="27" xfId="0" applyFont="1" applyBorder="1" applyAlignment="1">
      <alignment horizontal="center" vertical="center"/>
    </xf>
    <xf numFmtId="0" fontId="18" fillId="0" borderId="27" xfId="0" applyFont="1" applyBorder="1" applyAlignment="1">
      <alignment vertical="center"/>
    </xf>
    <xf numFmtId="0" fontId="20" fillId="0" borderId="27" xfId="0" quotePrefix="1" applyFont="1" applyBorder="1" applyAlignment="1">
      <alignment horizontal="center" vertical="center"/>
    </xf>
    <xf numFmtId="0" fontId="20" fillId="0" borderId="27" xfId="0" applyFont="1" applyBorder="1" applyAlignment="1">
      <alignment vertical="center"/>
    </xf>
    <xf numFmtId="3" fontId="27" fillId="0" borderId="27" xfId="0" applyNumberFormat="1" applyFont="1" applyBorder="1" applyAlignment="1">
      <alignment vertical="center"/>
    </xf>
    <xf numFmtId="3" fontId="20" fillId="0" borderId="27" xfId="0" applyNumberFormat="1" applyFont="1" applyBorder="1" applyAlignment="1">
      <alignment vertical="center"/>
    </xf>
    <xf numFmtId="0" fontId="20" fillId="0" borderId="27" xfId="0" applyFont="1" applyBorder="1" applyAlignment="1">
      <alignment horizontal="center" vertical="center"/>
    </xf>
    <xf numFmtId="3" fontId="18" fillId="0" borderId="27" xfId="0" applyNumberFormat="1" applyFont="1" applyBorder="1" applyAlignment="1">
      <alignment vertical="center"/>
    </xf>
    <xf numFmtId="0" fontId="18" fillId="0" borderId="27" xfId="0" applyFont="1" applyFill="1" applyBorder="1" applyAlignment="1">
      <alignment horizontal="center" vertical="center"/>
    </xf>
    <xf numFmtId="0" fontId="18" fillId="0" borderId="27" xfId="0" applyFont="1" applyFill="1" applyBorder="1" applyAlignment="1">
      <alignment vertical="center"/>
    </xf>
    <xf numFmtId="0" fontId="20" fillId="0" borderId="29" xfId="0" applyFont="1" applyBorder="1" applyAlignment="1">
      <alignment vertical="center"/>
    </xf>
    <xf numFmtId="0" fontId="30" fillId="0" borderId="14" xfId="6" quotePrefix="1" applyFont="1" applyBorder="1" applyAlignment="1">
      <alignment horizontal="center" vertical="center"/>
    </xf>
    <xf numFmtId="0" fontId="27" fillId="0" borderId="27" xfId="0" applyFont="1" applyBorder="1" applyAlignment="1">
      <alignment horizontal="center" vertical="center"/>
    </xf>
    <xf numFmtId="0" fontId="27" fillId="0" borderId="27" xfId="0" applyFont="1" applyBorder="1" applyAlignment="1">
      <alignment vertical="center"/>
    </xf>
    <xf numFmtId="0" fontId="20" fillId="0" borderId="12" xfId="0" applyFont="1" applyBorder="1" applyAlignment="1">
      <alignment vertical="center"/>
    </xf>
    <xf numFmtId="0" fontId="11" fillId="0" borderId="0" xfId="6" applyFont="1" applyAlignment="1">
      <alignment horizontal="centerContinuous" vertical="center"/>
    </xf>
    <xf numFmtId="0" fontId="12" fillId="0" borderId="0" xfId="6" applyFont="1" applyAlignment="1">
      <alignment horizontal="centerContinuous" vertical="center"/>
    </xf>
    <xf numFmtId="0" fontId="12" fillId="0" borderId="0" xfId="6" applyFont="1" applyAlignment="1">
      <alignment vertical="center"/>
    </xf>
    <xf numFmtId="0" fontId="18" fillId="0" borderId="0" xfId="6" applyFont="1" applyAlignment="1">
      <alignment horizontal="left" vertical="center"/>
    </xf>
    <xf numFmtId="0" fontId="27" fillId="0" borderId="0" xfId="6" applyFont="1" applyAlignment="1">
      <alignment horizontal="left" vertical="center"/>
    </xf>
    <xf numFmtId="0" fontId="20" fillId="0" borderId="0" xfId="6" applyFont="1" applyAlignment="1">
      <alignment vertical="center"/>
    </xf>
    <xf numFmtId="0" fontId="24" fillId="0" borderId="0" xfId="6" applyFont="1" applyAlignment="1">
      <alignment vertical="center"/>
    </xf>
    <xf numFmtId="0" fontId="27" fillId="0" borderId="0" xfId="6" applyFont="1" applyAlignment="1">
      <alignment vertical="center"/>
    </xf>
    <xf numFmtId="3" fontId="20" fillId="0" borderId="27" xfId="6" applyNumberFormat="1" applyFont="1" applyBorder="1" applyAlignment="1">
      <alignment vertical="center"/>
    </xf>
    <xf numFmtId="164" fontId="30" fillId="0" borderId="0" xfId="2" applyNumberFormat="1" applyFont="1" applyAlignment="1">
      <alignment vertical="center"/>
    </xf>
    <xf numFmtId="3" fontId="18" fillId="0" borderId="14" xfId="6" applyNumberFormat="1" applyFont="1" applyBorder="1" applyAlignment="1">
      <alignment vertical="center"/>
    </xf>
    <xf numFmtId="164" fontId="20" fillId="0" borderId="0" xfId="2" applyNumberFormat="1" applyFont="1" applyAlignment="1">
      <alignment vertical="center"/>
    </xf>
    <xf numFmtId="0" fontId="18" fillId="0" borderId="0" xfId="0" applyFont="1" applyAlignment="1">
      <alignment vertical="center"/>
    </xf>
    <xf numFmtId="3" fontId="18" fillId="0" borderId="27" xfId="6" applyNumberFormat="1" applyFont="1" applyBorder="1" applyAlignment="1">
      <alignment vertical="center"/>
    </xf>
    <xf numFmtId="0" fontId="34" fillId="0" borderId="0" xfId="6" applyFont="1" applyAlignment="1">
      <alignment horizontal="centerContinuous" vertical="center"/>
    </xf>
    <xf numFmtId="0" fontId="46" fillId="0" borderId="0" xfId="6" applyFont="1" applyAlignment="1">
      <alignment horizontal="centerContinuous" vertical="center"/>
    </xf>
    <xf numFmtId="0" fontId="46" fillId="0" borderId="0" xfId="6" applyFont="1" applyAlignment="1">
      <alignment vertical="center"/>
    </xf>
    <xf numFmtId="0" fontId="36" fillId="0" borderId="0" xfId="6" applyFont="1" applyAlignment="1">
      <alignment horizontal="left" vertical="center"/>
    </xf>
    <xf numFmtId="0" fontId="33" fillId="0" borderId="0" xfId="6" applyFont="1" applyAlignment="1">
      <alignment horizontal="left" vertical="center"/>
    </xf>
    <xf numFmtId="0" fontId="32" fillId="0" borderId="0" xfId="6" applyFont="1" applyAlignment="1">
      <alignment vertical="center"/>
    </xf>
    <xf numFmtId="0" fontId="33" fillId="0" borderId="0" xfId="6" applyFont="1" applyAlignment="1">
      <alignment vertical="center"/>
    </xf>
    <xf numFmtId="0" fontId="32" fillId="0" borderId="0" xfId="6" applyFont="1" applyAlignment="1">
      <alignment horizontal="right" vertical="center"/>
    </xf>
    <xf numFmtId="0" fontId="35" fillId="0" borderId="0" xfId="6" applyFont="1" applyAlignment="1">
      <alignment vertical="center"/>
    </xf>
    <xf numFmtId="0" fontId="36" fillId="0" borderId="18" xfId="6" applyFont="1" applyBorder="1" applyAlignment="1">
      <alignment horizontal="center" vertical="center" wrapText="1"/>
    </xf>
    <xf numFmtId="0" fontId="47" fillId="0" borderId="14" xfId="6" applyFont="1" applyBorder="1" applyAlignment="1">
      <alignment horizontal="center" vertical="center"/>
    </xf>
    <xf numFmtId="0" fontId="47" fillId="0" borderId="0" xfId="6" applyFont="1" applyAlignment="1">
      <alignment vertical="center"/>
    </xf>
    <xf numFmtId="3" fontId="36" fillId="0" borderId="14" xfId="6" applyNumberFormat="1" applyFont="1" applyBorder="1" applyAlignment="1">
      <alignment vertical="center"/>
    </xf>
    <xf numFmtId="49" fontId="34" fillId="0" borderId="30" xfId="6" applyNumberFormat="1" applyFont="1" applyFill="1" applyBorder="1" applyAlignment="1">
      <alignment horizontal="center" vertical="center"/>
    </xf>
    <xf numFmtId="49" fontId="34" fillId="0" borderId="30" xfId="6" applyNumberFormat="1" applyFont="1" applyFill="1" applyBorder="1" applyAlignment="1">
      <alignment horizontal="left" vertical="center"/>
    </xf>
    <xf numFmtId="3" fontId="36" fillId="0" borderId="30" xfId="6" applyNumberFormat="1" applyFont="1" applyBorder="1" applyAlignment="1">
      <alignment vertical="center"/>
    </xf>
    <xf numFmtId="49" fontId="34" fillId="0" borderId="27" xfId="6" applyNumberFormat="1" applyFont="1" applyFill="1" applyBorder="1" applyAlignment="1">
      <alignment horizontal="center" vertical="center"/>
    </xf>
    <xf numFmtId="49" fontId="34" fillId="0" borderId="27" xfId="6" applyNumberFormat="1" applyFont="1" applyFill="1" applyBorder="1" applyAlignment="1">
      <alignment horizontal="left" vertical="center"/>
    </xf>
    <xf numFmtId="3" fontId="36" fillId="0" borderId="27" xfId="6" applyNumberFormat="1" applyFont="1" applyBorder="1" applyAlignment="1">
      <alignment vertical="center"/>
    </xf>
    <xf numFmtId="49" fontId="34" fillId="0" borderId="27" xfId="6" applyNumberFormat="1" applyFont="1" applyFill="1" applyBorder="1" applyAlignment="1">
      <alignment horizontal="center" vertical="center" wrapText="1"/>
    </xf>
    <xf numFmtId="49" fontId="34" fillId="0" borderId="27" xfId="11" applyNumberFormat="1" applyFont="1" applyBorder="1" applyAlignment="1">
      <alignment vertical="center" wrapText="1"/>
    </xf>
    <xf numFmtId="3" fontId="32" fillId="0" borderId="27" xfId="6" applyNumberFormat="1" applyFont="1" applyBorder="1" applyAlignment="1">
      <alignment vertical="center"/>
    </xf>
    <xf numFmtId="49" fontId="46" fillId="0" borderId="27" xfId="6" applyNumberFormat="1" applyFont="1" applyFill="1" applyBorder="1" applyAlignment="1">
      <alignment horizontal="center" vertical="center"/>
    </xf>
    <xf numFmtId="49" fontId="46" fillId="0" borderId="27" xfId="11" quotePrefix="1" applyNumberFormat="1" applyFont="1" applyBorder="1" applyAlignment="1">
      <alignment vertical="center" wrapText="1"/>
    </xf>
    <xf numFmtId="49" fontId="48" fillId="0" borderId="27" xfId="6" applyNumberFormat="1" applyFont="1" applyFill="1" applyBorder="1" applyAlignment="1">
      <alignment horizontal="center" vertical="center"/>
    </xf>
    <xf numFmtId="49" fontId="49" fillId="0" borderId="27" xfId="6" applyNumberFormat="1" applyFont="1" applyFill="1" applyBorder="1" applyAlignment="1">
      <alignment horizontal="center" vertical="center"/>
    </xf>
    <xf numFmtId="49" fontId="34" fillId="0" borderId="27" xfId="11" applyNumberFormat="1" applyFont="1" applyBorder="1" applyAlignment="1">
      <alignment horizontal="left" vertical="center" wrapText="1"/>
    </xf>
    <xf numFmtId="49" fontId="48" fillId="0" borderId="27" xfId="11" applyNumberFormat="1" applyFont="1" applyBorder="1" applyAlignment="1">
      <alignment vertical="center" wrapText="1"/>
    </xf>
    <xf numFmtId="0" fontId="48" fillId="0" borderId="27" xfId="6" applyNumberFormat="1" applyFont="1" applyFill="1" applyBorder="1" applyAlignment="1">
      <alignment horizontal="center" vertical="center"/>
    </xf>
    <xf numFmtId="0" fontId="34" fillId="0" borderId="27" xfId="11" applyFont="1" applyBorder="1" applyAlignment="1">
      <alignment vertical="center" wrapText="1"/>
    </xf>
    <xf numFmtId="0" fontId="48" fillId="0" borderId="27" xfId="11" quotePrefix="1" applyFont="1" applyBorder="1" applyAlignment="1">
      <alignment vertical="center" wrapText="1"/>
    </xf>
    <xf numFmtId="0" fontId="34" fillId="0" borderId="27" xfId="6" applyFont="1" applyFill="1" applyBorder="1" applyAlignment="1">
      <alignment horizontal="center" vertical="center"/>
    </xf>
    <xf numFmtId="49" fontId="34" fillId="0" borderId="27" xfId="6" applyNumberFormat="1" applyFont="1" applyFill="1" applyBorder="1" applyAlignment="1">
      <alignment vertical="center"/>
    </xf>
    <xf numFmtId="0" fontId="46" fillId="0" borderId="27" xfId="6" applyFont="1" applyFill="1" applyBorder="1" applyAlignment="1">
      <alignment horizontal="center" vertical="center"/>
    </xf>
    <xf numFmtId="49" fontId="46" fillId="0" borderId="27" xfId="6" applyNumberFormat="1" applyFont="1" applyFill="1" applyBorder="1" applyAlignment="1">
      <alignment horizontal="left" vertical="center"/>
    </xf>
    <xf numFmtId="0" fontId="49" fillId="0" borderId="27" xfId="6" applyNumberFormat="1" applyFont="1" applyFill="1" applyBorder="1" applyAlignment="1">
      <alignment vertical="center"/>
    </xf>
    <xf numFmtId="0" fontId="46" fillId="0" borderId="27" xfId="6" applyNumberFormat="1" applyFont="1" applyFill="1" applyBorder="1" applyAlignment="1">
      <alignment horizontal="left" vertical="center"/>
    </xf>
    <xf numFmtId="0" fontId="34" fillId="0" borderId="27" xfId="6" applyNumberFormat="1" applyFont="1" applyFill="1" applyBorder="1" applyAlignment="1">
      <alignment horizontal="left" vertical="center"/>
    </xf>
    <xf numFmtId="0" fontId="34" fillId="0" borderId="27" xfId="6" applyNumberFormat="1" applyFont="1" applyFill="1" applyBorder="1" applyAlignment="1">
      <alignment vertical="center"/>
    </xf>
    <xf numFmtId="0" fontId="46" fillId="0" borderId="27" xfId="6" applyNumberFormat="1" applyFont="1" applyFill="1" applyBorder="1" applyAlignment="1">
      <alignment vertical="center"/>
    </xf>
    <xf numFmtId="0" fontId="49" fillId="0" borderId="27" xfId="6" applyFont="1" applyFill="1" applyBorder="1" applyAlignment="1">
      <alignment horizontal="center" vertical="center"/>
    </xf>
    <xf numFmtId="0" fontId="34" fillId="0" borderId="27" xfId="9" applyFont="1" applyFill="1" applyBorder="1" applyAlignment="1">
      <alignment horizontal="center" vertical="center"/>
    </xf>
    <xf numFmtId="0" fontId="34" fillId="0" borderId="27" xfId="9" applyFont="1" applyFill="1" applyBorder="1" applyAlignment="1">
      <alignment vertical="center"/>
    </xf>
    <xf numFmtId="0" fontId="25" fillId="0" borderId="30" xfId="0" applyFont="1" applyBorder="1" applyAlignment="1">
      <alignment horizontal="center" vertical="center"/>
    </xf>
    <xf numFmtId="0" fontId="25" fillId="0" borderId="30" xfId="0" applyFont="1" applyBorder="1" applyAlignment="1">
      <alignment vertical="center"/>
    </xf>
    <xf numFmtId="164" fontId="25" fillId="0" borderId="30" xfId="2" applyNumberFormat="1" applyFont="1" applyBorder="1" applyAlignment="1">
      <alignment vertical="center"/>
    </xf>
    <xf numFmtId="164" fontId="26" fillId="0" borderId="30" xfId="2" applyNumberFormat="1" applyFont="1" applyBorder="1" applyAlignment="1">
      <alignment vertical="center"/>
    </xf>
    <xf numFmtId="0" fontId="25" fillId="0" borderId="27" xfId="0" applyFont="1" applyBorder="1" applyAlignment="1">
      <alignment horizontal="center" vertical="center"/>
    </xf>
    <xf numFmtId="0" fontId="25" fillId="0" borderId="27" xfId="0" applyFont="1" applyBorder="1" applyAlignment="1">
      <alignment vertical="center"/>
    </xf>
    <xf numFmtId="164" fontId="25" fillId="0" borderId="27" xfId="2" applyNumberFormat="1" applyFont="1" applyBorder="1" applyAlignment="1">
      <alignment vertical="center"/>
    </xf>
    <xf numFmtId="164" fontId="26" fillId="0" borderId="27" xfId="2" applyNumberFormat="1" applyFont="1" applyBorder="1" applyAlignment="1">
      <alignment vertical="center"/>
    </xf>
    <xf numFmtId="0" fontId="25" fillId="0" borderId="27" xfId="0" applyFont="1" applyFill="1" applyBorder="1" applyAlignment="1">
      <alignment horizontal="center" vertical="center"/>
    </xf>
    <xf numFmtId="0" fontId="25" fillId="0" borderId="27" xfId="0" applyFont="1" applyFill="1" applyBorder="1" applyAlignment="1">
      <alignment vertical="center"/>
    </xf>
    <xf numFmtId="164" fontId="25" fillId="0" borderId="27" xfId="2" applyNumberFormat="1" applyFont="1" applyFill="1" applyBorder="1" applyAlignment="1">
      <alignment vertical="center"/>
    </xf>
    <xf numFmtId="0" fontId="28" fillId="0" borderId="27" xfId="0" applyFont="1" applyBorder="1" applyAlignment="1">
      <alignment vertical="center"/>
    </xf>
    <xf numFmtId="164" fontId="28" fillId="0" borderId="27" xfId="2" applyNumberFormat="1" applyFont="1" applyBorder="1" applyAlignment="1">
      <alignment vertical="center"/>
    </xf>
    <xf numFmtId="164" fontId="28" fillId="0" borderId="27" xfId="2" applyNumberFormat="1" applyFont="1" applyBorder="1" applyAlignment="1">
      <alignment horizontal="center" vertical="center"/>
    </xf>
    <xf numFmtId="0" fontId="25" fillId="0" borderId="29" xfId="0" applyFont="1" applyBorder="1" applyAlignment="1">
      <alignment vertical="center"/>
    </xf>
    <xf numFmtId="164" fontId="25" fillId="0" borderId="29" xfId="2" applyNumberFormat="1" applyFont="1" applyBorder="1" applyAlignment="1">
      <alignment vertical="center"/>
    </xf>
    <xf numFmtId="0" fontId="26" fillId="0" borderId="14" xfId="0" applyFont="1" applyBorder="1" applyAlignment="1">
      <alignment horizontal="center" vertical="center"/>
    </xf>
    <xf numFmtId="3" fontId="18" fillId="0" borderId="30" xfId="0" applyNumberFormat="1" applyFont="1" applyBorder="1" applyAlignment="1">
      <alignment vertical="center"/>
    </xf>
    <xf numFmtId="164" fontId="27" fillId="0" borderId="0" xfId="2" applyNumberFormat="1" applyFont="1" applyAlignment="1">
      <alignment vertical="center"/>
    </xf>
    <xf numFmtId="164" fontId="38" fillId="0" borderId="0" xfId="2" applyNumberFormat="1" applyFont="1" applyAlignment="1">
      <alignment vertical="center"/>
    </xf>
    <xf numFmtId="164" fontId="20" fillId="0" borderId="27" xfId="2" applyNumberFormat="1" applyFont="1" applyBorder="1" applyAlignment="1">
      <alignment vertical="center"/>
    </xf>
    <xf numFmtId="164" fontId="18" fillId="0" borderId="27" xfId="2" applyNumberFormat="1" applyFont="1" applyBorder="1" applyAlignment="1">
      <alignment vertical="center"/>
    </xf>
    <xf numFmtId="164" fontId="20" fillId="0" borderId="27" xfId="2" applyNumberFormat="1" applyFont="1" applyFill="1" applyBorder="1" applyAlignment="1">
      <alignment vertical="center"/>
    </xf>
    <xf numFmtId="164" fontId="18" fillId="0" borderId="27" xfId="2" applyNumberFormat="1" applyFont="1" applyFill="1" applyBorder="1" applyAlignment="1">
      <alignment vertical="center"/>
    </xf>
    <xf numFmtId="0" fontId="18" fillId="0" borderId="27" xfId="0" applyFont="1" applyBorder="1" applyAlignment="1">
      <alignment vertical="center" wrapText="1"/>
    </xf>
    <xf numFmtId="3" fontId="45" fillId="0" borderId="27" xfId="6" applyNumberFormat="1" applyFont="1" applyBorder="1" applyAlignment="1">
      <alignment vertical="center"/>
    </xf>
    <xf numFmtId="0" fontId="20" fillId="0" borderId="27" xfId="6" applyFont="1" applyBorder="1" applyAlignment="1">
      <alignment vertical="center"/>
    </xf>
    <xf numFmtId="0" fontId="20" fillId="0" borderId="29" xfId="0" applyFont="1" applyBorder="1" applyAlignment="1">
      <alignment horizontal="center" vertical="center"/>
    </xf>
    <xf numFmtId="164" fontId="20" fillId="0" borderId="29" xfId="2" applyNumberFormat="1" applyFont="1" applyBorder="1" applyAlignment="1">
      <alignment vertical="center"/>
    </xf>
    <xf numFmtId="3" fontId="20" fillId="0" borderId="29" xfId="0" applyNumberFormat="1" applyFont="1" applyBorder="1" applyAlignment="1">
      <alignment vertical="center"/>
    </xf>
    <xf numFmtId="164" fontId="18" fillId="0" borderId="14" xfId="2" applyNumberFormat="1" applyFont="1" applyBorder="1" applyAlignment="1">
      <alignment vertical="center"/>
    </xf>
    <xf numFmtId="0" fontId="20" fillId="0" borderId="30" xfId="0" applyFont="1" applyBorder="1" applyAlignment="1">
      <alignment horizontal="center" vertical="center"/>
    </xf>
    <xf numFmtId="0" fontId="20" fillId="0" borderId="30" xfId="6" applyFont="1" applyBorder="1" applyAlignment="1">
      <alignment vertical="center"/>
    </xf>
    <xf numFmtId="164" fontId="20" fillId="0" borderId="30" xfId="2" applyNumberFormat="1" applyFont="1" applyBorder="1" applyAlignment="1">
      <alignment vertical="center"/>
    </xf>
    <xf numFmtId="0" fontId="12" fillId="0" borderId="0" xfId="6" applyFont="1" applyAlignment="1">
      <alignment horizontal="center" vertical="center"/>
    </xf>
    <xf numFmtId="3" fontId="18" fillId="0" borderId="14" xfId="0" applyNumberFormat="1" applyFont="1" applyBorder="1" applyAlignment="1">
      <alignment vertical="center"/>
    </xf>
    <xf numFmtId="0" fontId="18" fillId="0" borderId="30" xfId="0" applyFont="1" applyBorder="1" applyAlignment="1">
      <alignment vertical="center"/>
    </xf>
    <xf numFmtId="0" fontId="19" fillId="0" borderId="27" xfId="0" applyFont="1" applyFill="1" applyBorder="1" applyAlignment="1">
      <alignment horizontal="center" vertical="center"/>
    </xf>
    <xf numFmtId="0" fontId="19" fillId="0" borderId="27" xfId="0" applyFont="1" applyFill="1" applyBorder="1" applyAlignment="1">
      <alignment vertical="center"/>
    </xf>
    <xf numFmtId="0" fontId="19" fillId="0" borderId="29" xfId="0" applyFont="1" applyFill="1" applyBorder="1" applyAlignment="1">
      <alignment horizontal="center" vertical="center"/>
    </xf>
    <xf numFmtId="0" fontId="19" fillId="0" borderId="29" xfId="0" applyFont="1" applyFill="1" applyBorder="1" applyAlignment="1">
      <alignment vertical="center"/>
    </xf>
    <xf numFmtId="0" fontId="34" fillId="0" borderId="0" xfId="6" applyFont="1" applyAlignment="1">
      <alignment horizontal="left" vertical="center"/>
    </xf>
    <xf numFmtId="0" fontId="11" fillId="0" borderId="0" xfId="6" applyFont="1" applyAlignment="1">
      <alignment horizontal="left" vertical="center"/>
    </xf>
    <xf numFmtId="164" fontId="24" fillId="0" borderId="19" xfId="2" applyNumberFormat="1" applyFont="1" applyFill="1" applyBorder="1" applyAlignment="1">
      <alignment vertical="center"/>
    </xf>
    <xf numFmtId="164" fontId="19" fillId="0" borderId="14" xfId="2" applyNumberFormat="1" applyFont="1" applyFill="1" applyBorder="1" applyAlignment="1">
      <alignment vertical="center"/>
    </xf>
    <xf numFmtId="164" fontId="24" fillId="0" borderId="14" xfId="2" applyNumberFormat="1" applyFont="1" applyFill="1" applyBorder="1" applyAlignment="1">
      <alignment vertical="center"/>
    </xf>
    <xf numFmtId="0" fontId="19" fillId="0" borderId="14" xfId="0" applyFont="1" applyFill="1" applyBorder="1" applyAlignment="1">
      <alignment vertical="center"/>
    </xf>
    <xf numFmtId="0" fontId="11" fillId="0" borderId="0" xfId="0" applyFont="1" applyAlignment="1">
      <alignment horizontal="left" vertical="center"/>
    </xf>
    <xf numFmtId="0" fontId="18" fillId="0" borderId="0" xfId="6" applyFont="1" applyAlignment="1">
      <alignment horizontal="right" vertical="center"/>
    </xf>
    <xf numFmtId="0" fontId="18" fillId="0" borderId="29" xfId="0" applyFont="1" applyFill="1" applyBorder="1" applyAlignment="1">
      <alignment horizontal="center" vertical="center"/>
    </xf>
    <xf numFmtId="0" fontId="18" fillId="0" borderId="29" xfId="0" applyFont="1" applyFill="1" applyBorder="1" applyAlignment="1">
      <alignment vertical="center"/>
    </xf>
    <xf numFmtId="164" fontId="18" fillId="0" borderId="29" xfId="2" applyNumberFormat="1" applyFont="1" applyFill="1" applyBorder="1" applyAlignment="1">
      <alignment vertical="center"/>
    </xf>
    <xf numFmtId="164" fontId="18" fillId="0" borderId="29" xfId="2" applyNumberFormat="1" applyFont="1" applyBorder="1" applyAlignment="1">
      <alignment vertical="center"/>
    </xf>
    <xf numFmtId="164" fontId="20" fillId="0" borderId="32" xfId="2" applyNumberFormat="1" applyFont="1" applyBorder="1" applyAlignment="1">
      <alignment vertical="center"/>
    </xf>
    <xf numFmtId="3" fontId="18" fillId="0" borderId="30" xfId="6" applyNumberFormat="1" applyFont="1" applyBorder="1" applyAlignment="1">
      <alignment vertical="center"/>
    </xf>
    <xf numFmtId="0" fontId="34" fillId="0" borderId="29" xfId="9" applyFont="1" applyFill="1" applyBorder="1" applyAlignment="1">
      <alignment horizontal="center" vertical="center"/>
    </xf>
    <xf numFmtId="0" fontId="34" fillId="0" borderId="29" xfId="9" applyFont="1" applyFill="1" applyBorder="1" applyAlignment="1">
      <alignment vertical="center"/>
    </xf>
    <xf numFmtId="3" fontId="36" fillId="0" borderId="29" xfId="6" applyNumberFormat="1" applyFont="1" applyBorder="1" applyAlignment="1">
      <alignment vertical="center"/>
    </xf>
    <xf numFmtId="0" fontId="18" fillId="0" borderId="14" xfId="6" applyFont="1" applyBorder="1" applyAlignment="1">
      <alignment horizontal="center" vertical="center" wrapText="1"/>
    </xf>
    <xf numFmtId="0" fontId="18" fillId="0" borderId="14" xfId="6" applyFont="1" applyBorder="1" applyAlignment="1">
      <alignment horizontal="center" vertical="center"/>
    </xf>
    <xf numFmtId="0" fontId="18" fillId="0" borderId="29" xfId="6" applyFont="1" applyBorder="1" applyAlignment="1">
      <alignment horizontal="center" vertical="center"/>
    </xf>
    <xf numFmtId="0" fontId="18" fillId="0" borderId="29" xfId="6" applyFont="1" applyBorder="1" applyAlignment="1">
      <alignment vertical="center"/>
    </xf>
    <xf numFmtId="0" fontId="25" fillId="0" borderId="30" xfId="0" applyFont="1" applyFill="1" applyBorder="1" applyAlignment="1">
      <alignment horizontal="center" vertical="center"/>
    </xf>
    <xf numFmtId="0" fontId="25" fillId="0" borderId="30" xfId="0" applyFont="1" applyFill="1" applyBorder="1" applyAlignment="1">
      <alignment vertical="center"/>
    </xf>
    <xf numFmtId="164" fontId="25" fillId="0" borderId="30" xfId="2" applyNumberFormat="1" applyFont="1" applyFill="1" applyBorder="1" applyAlignment="1">
      <alignment vertical="center"/>
    </xf>
    <xf numFmtId="0" fontId="19" fillId="0" borderId="27" xfId="0" applyFont="1" applyFill="1" applyBorder="1" applyAlignment="1">
      <alignment horizontal="left" vertical="center"/>
    </xf>
    <xf numFmtId="0" fontId="19" fillId="0" borderId="18" xfId="0" applyFont="1" applyFill="1" applyBorder="1" applyAlignment="1">
      <alignment horizontal="left" vertical="center"/>
    </xf>
    <xf numFmtId="0" fontId="18" fillId="0" borderId="18" xfId="0" applyFont="1" applyBorder="1" applyAlignment="1">
      <alignment horizontal="center" vertical="center"/>
    </xf>
    <xf numFmtId="0" fontId="30" fillId="0" borderId="14" xfId="0" applyFont="1" applyFill="1" applyBorder="1" applyAlignment="1">
      <alignment horizontal="center" vertical="center"/>
    </xf>
    <xf numFmtId="164" fontId="18" fillId="0" borderId="14" xfId="2" applyNumberFormat="1" applyFont="1" applyBorder="1" applyAlignment="1">
      <alignment horizontal="right" vertical="center"/>
    </xf>
    <xf numFmtId="0" fontId="18" fillId="0" borderId="31" xfId="0" applyFont="1" applyBorder="1" applyAlignment="1">
      <alignment horizontal="center" vertical="center"/>
    </xf>
    <xf numFmtId="0" fontId="18" fillId="0" borderId="31" xfId="0" applyFont="1" applyBorder="1" applyAlignment="1">
      <alignment vertical="center"/>
    </xf>
    <xf numFmtId="164" fontId="18" fillId="0" borderId="31" xfId="2" applyNumberFormat="1" applyFont="1" applyBorder="1" applyAlignment="1">
      <alignment vertical="center"/>
    </xf>
    <xf numFmtId="164" fontId="18" fillId="0" borderId="31" xfId="2" applyNumberFormat="1" applyFont="1" applyBorder="1" applyAlignment="1">
      <alignment horizontal="right" vertical="center"/>
    </xf>
    <xf numFmtId="164" fontId="18" fillId="0" borderId="27" xfId="2" applyNumberFormat="1" applyFont="1" applyBorder="1" applyAlignment="1">
      <alignment horizontal="right" vertical="center"/>
    </xf>
    <xf numFmtId="0" fontId="12" fillId="0" borderId="27" xfId="10" applyFont="1" applyFill="1" applyBorder="1" applyAlignment="1">
      <alignment horizontal="center" vertical="center" wrapText="1"/>
    </xf>
    <xf numFmtId="165" fontId="12" fillId="0" borderId="27" xfId="10" applyNumberFormat="1" applyFont="1" applyFill="1" applyBorder="1" applyAlignment="1">
      <alignment vertical="center" wrapText="1"/>
    </xf>
    <xf numFmtId="164" fontId="20" fillId="0" borderId="27" xfId="2" applyNumberFormat="1" applyFont="1" applyBorder="1" applyAlignment="1">
      <alignment horizontal="right" vertical="center"/>
    </xf>
    <xf numFmtId="164" fontId="20" fillId="0" borderId="32" xfId="2" applyNumberFormat="1" applyFont="1" applyBorder="1" applyAlignment="1">
      <alignment horizontal="right" vertical="center"/>
    </xf>
    <xf numFmtId="0" fontId="18" fillId="0" borderId="29" xfId="0" applyFont="1" applyBorder="1" applyAlignment="1">
      <alignment horizontal="center" vertical="center"/>
    </xf>
    <xf numFmtId="0" fontId="18" fillId="0" borderId="29" xfId="0" applyFont="1" applyBorder="1" applyAlignment="1">
      <alignment vertical="center"/>
    </xf>
    <xf numFmtId="164" fontId="18" fillId="0" borderId="29" xfId="2" applyNumberFormat="1" applyFont="1" applyBorder="1" applyAlignment="1">
      <alignment horizontal="right" vertical="center"/>
    </xf>
    <xf numFmtId="164" fontId="20" fillId="0" borderId="29" xfId="2" applyNumberFormat="1" applyFont="1" applyBorder="1" applyAlignment="1">
      <alignment horizontal="right" vertical="center"/>
    </xf>
    <xf numFmtId="164" fontId="12" fillId="0" borderId="0" xfId="0" applyNumberFormat="1" applyFont="1" applyAlignment="1">
      <alignment horizontal="centerContinuous" vertical="center"/>
    </xf>
    <xf numFmtId="164" fontId="20" fillId="0" borderId="0" xfId="0" applyNumberFormat="1" applyFont="1" applyAlignment="1">
      <alignment vertical="center"/>
    </xf>
    <xf numFmtId="3" fontId="20" fillId="0" borderId="0" xfId="0" applyNumberFormat="1" applyFont="1" applyAlignment="1">
      <alignment vertical="center"/>
    </xf>
    <xf numFmtId="0" fontId="11" fillId="0" borderId="28" xfId="9" applyFont="1" applyFill="1" applyBorder="1" applyAlignment="1">
      <alignment horizontal="center" vertical="center"/>
    </xf>
    <xf numFmtId="164" fontId="11" fillId="0" borderId="28" xfId="2" applyNumberFormat="1" applyFont="1" applyFill="1" applyBorder="1" applyAlignment="1">
      <alignment vertical="center"/>
    </xf>
    <xf numFmtId="164" fontId="12" fillId="0" borderId="0" xfId="0" applyNumberFormat="1" applyFont="1" applyAlignment="1">
      <alignment vertical="center"/>
    </xf>
    <xf numFmtId="0" fontId="11" fillId="0" borderId="0" xfId="6" applyFont="1" applyFill="1" applyAlignment="1">
      <alignment horizontal="center" vertical="center"/>
    </xf>
    <xf numFmtId="0" fontId="20" fillId="0" borderId="0" xfId="6" applyFont="1" applyFill="1" applyAlignment="1">
      <alignment horizontal="center" vertical="center"/>
    </xf>
    <xf numFmtId="0" fontId="18" fillId="0" borderId="0" xfId="8" applyFont="1" applyAlignment="1">
      <alignment horizontal="center" vertical="center"/>
    </xf>
    <xf numFmtId="0" fontId="12" fillId="0" borderId="0" xfId="6" applyFont="1" applyFill="1" applyAlignment="1">
      <alignment horizontal="center" vertical="center" wrapText="1"/>
    </xf>
    <xf numFmtId="0" fontId="11" fillId="0" borderId="28" xfId="6" applyFont="1" applyFill="1" applyBorder="1" applyAlignment="1">
      <alignment vertical="center"/>
    </xf>
    <xf numFmtId="0" fontId="12" fillId="0" borderId="0" xfId="6" applyFont="1" applyFill="1" applyBorder="1" applyAlignment="1">
      <alignment horizontal="right" vertical="center"/>
    </xf>
    <xf numFmtId="0" fontId="22" fillId="0" borderId="0" xfId="6" quotePrefix="1" applyFont="1" applyFill="1" applyBorder="1" applyAlignment="1">
      <alignment horizontal="center" vertical="center"/>
    </xf>
    <xf numFmtId="164" fontId="12" fillId="0" borderId="0" xfId="2" quotePrefix="1" applyNumberFormat="1" applyFont="1" applyFill="1" applyBorder="1" applyAlignment="1">
      <alignment horizontal="center" vertical="center"/>
    </xf>
    <xf numFmtId="0" fontId="18" fillId="0" borderId="27" xfId="0" applyFont="1" applyFill="1" applyBorder="1" applyAlignment="1">
      <alignment horizontal="left" vertical="center"/>
    </xf>
    <xf numFmtId="164" fontId="22" fillId="0" borderId="0" xfId="2" applyNumberFormat="1" applyFont="1" applyAlignment="1">
      <alignment vertical="center"/>
    </xf>
    <xf numFmtId="0" fontId="22" fillId="0" borderId="0" xfId="0" applyFont="1" applyAlignment="1">
      <alignment vertical="center"/>
    </xf>
    <xf numFmtId="164" fontId="12" fillId="0" borderId="0" xfId="0" applyNumberFormat="1" applyFont="1" applyFill="1" applyAlignment="1">
      <alignment vertical="center"/>
    </xf>
    <xf numFmtId="3" fontId="20" fillId="0" borderId="0" xfId="0" applyNumberFormat="1" applyFont="1"/>
    <xf numFmtId="3" fontId="12" fillId="0" borderId="0" xfId="0" applyNumberFormat="1" applyFont="1" applyAlignment="1">
      <alignment vertical="center"/>
    </xf>
    <xf numFmtId="164" fontId="23" fillId="0" borderId="0" xfId="2" applyNumberFormat="1" applyFont="1" applyFill="1" applyAlignment="1">
      <alignment vertical="center"/>
    </xf>
    <xf numFmtId="164" fontId="24" fillId="0" borderId="0" xfId="2" applyNumberFormat="1" applyFont="1" applyFill="1" applyAlignment="1">
      <alignment vertical="center"/>
    </xf>
    <xf numFmtId="164" fontId="14" fillId="0" borderId="0" xfId="2" applyNumberFormat="1" applyFont="1" applyFill="1" applyAlignment="1">
      <alignment vertical="center"/>
    </xf>
    <xf numFmtId="164" fontId="18" fillId="0" borderId="30" xfId="2" applyNumberFormat="1" applyFont="1" applyBorder="1" applyAlignment="1">
      <alignment vertical="center"/>
    </xf>
    <xf numFmtId="164" fontId="45" fillId="0" borderId="27" xfId="2" applyNumberFormat="1" applyFont="1" applyBorder="1" applyAlignment="1">
      <alignment vertical="center"/>
    </xf>
    <xf numFmtId="0" fontId="18" fillId="0" borderId="14" xfId="0" applyFont="1" applyBorder="1" applyAlignment="1">
      <alignment horizontal="center" vertical="center"/>
    </xf>
    <xf numFmtId="39" fontId="20" fillId="0" borderId="0" xfId="2" applyNumberFormat="1" applyFont="1" applyAlignment="1">
      <alignment vertical="center"/>
    </xf>
    <xf numFmtId="0" fontId="18" fillId="0" borderId="14" xfId="0" quotePrefix="1" applyFont="1" applyBorder="1" applyAlignment="1">
      <alignment horizontal="center" vertical="center"/>
    </xf>
    <xf numFmtId="0" fontId="20" fillId="0" borderId="9" xfId="0" applyFont="1" applyFill="1" applyBorder="1" applyAlignment="1">
      <alignment horizontal="center" vertical="center"/>
    </xf>
    <xf numFmtId="0" fontId="20" fillId="0" borderId="9" xfId="0" applyFont="1" applyFill="1" applyBorder="1" applyAlignment="1">
      <alignment vertical="center"/>
    </xf>
    <xf numFmtId="0" fontId="20" fillId="0" borderId="18" xfId="0" applyFont="1" applyFill="1" applyBorder="1" applyAlignment="1">
      <alignment horizontal="center" vertical="center"/>
    </xf>
    <xf numFmtId="0" fontId="20" fillId="0" borderId="9" xfId="0" applyFont="1" applyFill="1" applyBorder="1" applyAlignment="1">
      <alignment horizontal="left" vertical="center"/>
    </xf>
    <xf numFmtId="0" fontId="18" fillId="27" borderId="0" xfId="6" applyFont="1" applyFill="1" applyAlignment="1">
      <alignment vertical="center"/>
    </xf>
    <xf numFmtId="0" fontId="20" fillId="27" borderId="0" xfId="6" applyFont="1" applyFill="1" applyAlignment="1">
      <alignment horizontal="right" vertical="center"/>
    </xf>
    <xf numFmtId="0" fontId="20" fillId="27" borderId="0" xfId="6" applyFont="1" applyFill="1" applyAlignment="1">
      <alignment horizontal="centerContinuous" vertical="center"/>
    </xf>
    <xf numFmtId="0" fontId="20" fillId="27" borderId="0" xfId="6" applyFont="1" applyFill="1" applyAlignment="1">
      <alignment vertical="center"/>
    </xf>
    <xf numFmtId="0" fontId="18" fillId="27" borderId="0" xfId="6" applyFont="1" applyFill="1" applyAlignment="1">
      <alignment vertical="center" wrapText="1"/>
    </xf>
    <xf numFmtId="43" fontId="20" fillId="27" borderId="0" xfId="2" applyFont="1" applyFill="1" applyAlignment="1">
      <alignment vertical="center"/>
    </xf>
    <xf numFmtId="0" fontId="24" fillId="27" borderId="0" xfId="6" applyFont="1" applyFill="1" applyAlignment="1">
      <alignment vertical="center"/>
    </xf>
    <xf numFmtId="0" fontId="22" fillId="0" borderId="14" xfId="0" applyFont="1" applyBorder="1" applyAlignment="1">
      <alignment horizontal="center" vertical="center"/>
    </xf>
    <xf numFmtId="0" fontId="22" fillId="0" borderId="20" xfId="0" applyFont="1" applyBorder="1" applyAlignment="1">
      <alignment horizontal="center" vertical="center"/>
    </xf>
    <xf numFmtId="0" fontId="11" fillId="0" borderId="0" xfId="6" applyFont="1" applyFill="1" applyAlignment="1">
      <alignment horizontal="center" vertical="center"/>
    </xf>
    <xf numFmtId="0" fontId="20" fillId="0" borderId="0" xfId="6" applyFont="1" applyFill="1" applyAlignment="1">
      <alignment horizontal="center" vertical="center"/>
    </xf>
    <xf numFmtId="0" fontId="18" fillId="0" borderId="0" xfId="8" applyFont="1" applyAlignment="1">
      <alignment horizontal="center" vertical="center"/>
    </xf>
    <xf numFmtId="0" fontId="12" fillId="0" borderId="0" xfId="6" applyFont="1" applyFill="1" applyAlignment="1">
      <alignment horizontal="center" vertical="center" wrapText="1"/>
    </xf>
    <xf numFmtId="0" fontId="20" fillId="0" borderId="0" xfId="0" applyFont="1" applyFill="1" applyAlignment="1">
      <alignment horizontal="center" vertical="center"/>
    </xf>
    <xf numFmtId="0" fontId="25" fillId="0" borderId="29" xfId="0" applyFont="1" applyBorder="1" applyAlignment="1">
      <alignment horizontal="center" vertical="center"/>
    </xf>
    <xf numFmtId="0" fontId="24" fillId="0" borderId="0" xfId="0" applyFont="1" applyFill="1" applyAlignment="1">
      <alignment horizontal="center" vertical="center"/>
    </xf>
    <xf numFmtId="164" fontId="24" fillId="0" borderId="0" xfId="2" applyNumberFormat="1" applyFont="1" applyFill="1" applyAlignment="1">
      <alignment horizontal="center" vertical="center"/>
    </xf>
    <xf numFmtId="0" fontId="18" fillId="27" borderId="0" xfId="6" applyFont="1" applyFill="1" applyBorder="1" applyAlignment="1">
      <alignment vertical="center"/>
    </xf>
    <xf numFmtId="0" fontId="12" fillId="0" borderId="9" xfId="6" applyNumberFormat="1" applyFont="1" applyFill="1" applyBorder="1" applyAlignment="1">
      <alignment horizontal="left" vertical="center"/>
    </xf>
    <xf numFmtId="0" fontId="12" fillId="0" borderId="42" xfId="0" applyFont="1" applyFill="1" applyBorder="1" applyAlignment="1">
      <alignment vertical="center"/>
    </xf>
    <xf numFmtId="0" fontId="12" fillId="0" borderId="42" xfId="6" applyNumberFormat="1" applyFont="1" applyFill="1" applyBorder="1" applyAlignment="1">
      <alignment horizontal="left" vertical="center"/>
    </xf>
    <xf numFmtId="0" fontId="24" fillId="0" borderId="42" xfId="0" applyFont="1" applyFill="1" applyBorder="1" applyAlignment="1">
      <alignment horizontal="center" vertical="center"/>
    </xf>
    <xf numFmtId="164" fontId="24" fillId="0" borderId="9" xfId="2" quotePrefix="1" applyNumberFormat="1" applyFont="1" applyFill="1" applyBorder="1" applyAlignment="1">
      <alignment horizontal="center" vertical="center"/>
    </xf>
    <xf numFmtId="164" fontId="20" fillId="0" borderId="9" xfId="2" applyNumberFormat="1" applyFont="1" applyFill="1" applyBorder="1" applyAlignment="1">
      <alignment vertical="center"/>
    </xf>
    <xf numFmtId="164" fontId="26" fillId="0" borderId="27" xfId="2" applyNumberFormat="1" applyFont="1" applyFill="1" applyBorder="1" applyAlignment="1">
      <alignment vertical="center"/>
    </xf>
    <xf numFmtId="0" fontId="12" fillId="0" borderId="0" xfId="0" applyFont="1" applyFill="1" applyAlignment="1">
      <alignment horizontal="centerContinuous" vertical="center"/>
    </xf>
    <xf numFmtId="0" fontId="18" fillId="0" borderId="0" xfId="0" applyFont="1" applyFill="1" applyAlignment="1">
      <alignment horizontal="centerContinuous" vertical="center"/>
    </xf>
    <xf numFmtId="0" fontId="18" fillId="0" borderId="0" xfId="0" applyFont="1" applyFill="1" applyAlignment="1">
      <alignment horizontal="left" vertical="center"/>
    </xf>
    <xf numFmtId="0" fontId="27" fillId="0" borderId="0" xfId="0" applyFont="1" applyFill="1" applyAlignment="1">
      <alignment horizontal="left" vertical="center"/>
    </xf>
    <xf numFmtId="0" fontId="30" fillId="0" borderId="0" xfId="0" applyFont="1" applyFill="1" applyAlignment="1">
      <alignment vertical="center"/>
    </xf>
    <xf numFmtId="164" fontId="18" fillId="0" borderId="14" xfId="2" applyNumberFormat="1" applyFont="1" applyFill="1" applyBorder="1" applyAlignment="1">
      <alignment vertical="center"/>
    </xf>
    <xf numFmtId="164" fontId="18" fillId="0" borderId="14" xfId="0" applyNumberFormat="1" applyFont="1" applyFill="1" applyBorder="1" applyAlignment="1">
      <alignment vertical="center"/>
    </xf>
    <xf numFmtId="0" fontId="119" fillId="0" borderId="0" xfId="9" applyFont="1" applyFill="1" applyBorder="1" applyAlignment="1">
      <alignment horizontal="center" vertical="center"/>
    </xf>
    <xf numFmtId="0" fontId="119" fillId="0" borderId="0" xfId="9" applyFont="1" applyFill="1" applyBorder="1" applyAlignment="1">
      <alignment vertical="center"/>
    </xf>
    <xf numFmtId="164" fontId="35" fillId="0" borderId="0" xfId="2" applyNumberFormat="1" applyFont="1" applyFill="1" applyBorder="1" applyAlignment="1">
      <alignment vertical="center"/>
    </xf>
    <xf numFmtId="164" fontId="119" fillId="0" borderId="0" xfId="2" applyNumberFormat="1" applyFont="1" applyFill="1" applyBorder="1" applyAlignment="1">
      <alignment vertical="center"/>
    </xf>
    <xf numFmtId="0" fontId="119" fillId="0" borderId="0" xfId="6" applyFont="1" applyFill="1" applyAlignment="1">
      <alignment vertical="center"/>
    </xf>
    <xf numFmtId="0" fontId="120" fillId="0" borderId="0" xfId="6" applyFont="1" applyFill="1" applyAlignment="1">
      <alignment vertical="center"/>
    </xf>
    <xf numFmtId="0" fontId="35" fillId="0" borderId="0" xfId="6" applyFont="1" applyFill="1" applyAlignment="1">
      <alignment vertical="center"/>
    </xf>
    <xf numFmtId="0" fontId="120" fillId="0" borderId="0" xfId="6" applyFont="1" applyFill="1" applyAlignment="1">
      <alignment horizontal="center" vertical="center"/>
    </xf>
    <xf numFmtId="0" fontId="35" fillId="0" borderId="0" xfId="6" applyFont="1" applyFill="1" applyAlignment="1">
      <alignment horizontal="center" vertical="center"/>
    </xf>
    <xf numFmtId="0" fontId="120" fillId="0" borderId="0" xfId="6" applyFont="1" applyFill="1" applyAlignment="1">
      <alignment vertical="center" wrapText="1"/>
    </xf>
    <xf numFmtId="164" fontId="2" fillId="0" borderId="0" xfId="324" applyNumberFormat="1" applyFont="1"/>
    <xf numFmtId="0" fontId="19" fillId="0" borderId="0" xfId="6" applyFont="1" applyAlignment="1">
      <alignment horizontal="left" vertical="center"/>
    </xf>
    <xf numFmtId="0" fontId="19" fillId="0" borderId="0" xfId="6" applyFont="1" applyAlignment="1">
      <alignment horizontal="centerContinuous" vertical="center"/>
    </xf>
    <xf numFmtId="0" fontId="24" fillId="0" borderId="0" xfId="6" applyFont="1" applyAlignment="1">
      <alignment horizontal="centerContinuous" vertical="center"/>
    </xf>
    <xf numFmtId="0" fontId="24" fillId="0" borderId="0" xfId="6" applyFont="1" applyFill="1" applyAlignment="1">
      <alignment horizontal="centerContinuous" vertical="center"/>
    </xf>
    <xf numFmtId="0" fontId="19" fillId="0" borderId="0" xfId="6" applyFont="1" applyFill="1" applyAlignment="1">
      <alignment vertical="center"/>
    </xf>
    <xf numFmtId="0" fontId="19" fillId="0" borderId="0" xfId="6" applyFont="1" applyAlignment="1">
      <alignment vertical="center"/>
    </xf>
    <xf numFmtId="0" fontId="19" fillId="0" borderId="0" xfId="6" applyFont="1" applyAlignment="1">
      <alignment horizontal="right" vertical="center"/>
    </xf>
    <xf numFmtId="0" fontId="121" fillId="0" borderId="0" xfId="6" applyFont="1" applyAlignment="1">
      <alignment horizontal="left" vertical="center"/>
    </xf>
    <xf numFmtId="0" fontId="24" fillId="0" borderId="0" xfId="6" applyFont="1" applyFill="1" applyAlignment="1">
      <alignment vertical="center"/>
    </xf>
    <xf numFmtId="0" fontId="121" fillId="0" borderId="0" xfId="6" applyFont="1" applyBorder="1" applyAlignment="1">
      <alignment horizontal="center" vertical="center"/>
    </xf>
    <xf numFmtId="0" fontId="121" fillId="0" borderId="0" xfId="6" applyFont="1" applyFill="1" applyBorder="1" applyAlignment="1">
      <alignment horizontal="center" vertical="center"/>
    </xf>
    <xf numFmtId="0" fontId="121" fillId="0" borderId="0" xfId="6" applyFont="1" applyBorder="1" applyAlignment="1">
      <alignment horizontal="right" vertical="center"/>
    </xf>
    <xf numFmtId="0" fontId="19" fillId="0" borderId="10" xfId="6" applyFont="1" applyBorder="1" applyAlignment="1">
      <alignment horizontal="center" vertical="center"/>
    </xf>
    <xf numFmtId="3" fontId="19" fillId="0" borderId="10" xfId="6" applyNumberFormat="1" applyFont="1" applyBorder="1" applyAlignment="1">
      <alignment vertical="center"/>
    </xf>
    <xf numFmtId="3" fontId="19" fillId="0" borderId="10" xfId="6" applyNumberFormat="1" applyFont="1" applyFill="1" applyBorder="1" applyAlignment="1">
      <alignment vertical="center"/>
    </xf>
    <xf numFmtId="3" fontId="24" fillId="0" borderId="0" xfId="6" applyNumberFormat="1" applyFont="1" applyAlignment="1">
      <alignment vertical="center"/>
    </xf>
    <xf numFmtId="0" fontId="19" fillId="0" borderId="9" xfId="6" applyFont="1" applyBorder="1" applyAlignment="1">
      <alignment horizontal="center" vertical="center"/>
    </xf>
    <xf numFmtId="0" fontId="19" fillId="0" borderId="9" xfId="6" applyFont="1" applyBorder="1" applyAlignment="1">
      <alignment vertical="center"/>
    </xf>
    <xf numFmtId="3" fontId="19" fillId="0" borderId="9" xfId="6" applyNumberFormat="1" applyFont="1" applyBorder="1" applyAlignment="1">
      <alignment vertical="center"/>
    </xf>
    <xf numFmtId="3" fontId="19" fillId="0" borderId="9" xfId="6" applyNumberFormat="1" applyFont="1" applyFill="1" applyBorder="1" applyAlignment="1">
      <alignment vertical="center"/>
    </xf>
    <xf numFmtId="3" fontId="24" fillId="0" borderId="9" xfId="6" applyNumberFormat="1" applyFont="1" applyBorder="1" applyAlignment="1">
      <alignment vertical="center"/>
    </xf>
    <xf numFmtId="0" fontId="24" fillId="0" borderId="9" xfId="6" applyFont="1" applyBorder="1" applyAlignment="1">
      <alignment horizontal="center" vertical="center"/>
    </xf>
    <xf numFmtId="0" fontId="24" fillId="0" borderId="9" xfId="6" applyFont="1" applyBorder="1" applyAlignment="1">
      <alignment vertical="center"/>
    </xf>
    <xf numFmtId="3" fontId="24" fillId="0" borderId="9" xfId="6" applyNumberFormat="1" applyFont="1" applyFill="1" applyBorder="1" applyAlignment="1">
      <alignment vertical="center"/>
    </xf>
    <xf numFmtId="0" fontId="24" fillId="0" borderId="9" xfId="6" applyFont="1" applyFill="1" applyBorder="1" applyAlignment="1">
      <alignment vertical="center"/>
    </xf>
    <xf numFmtId="3" fontId="24" fillId="0" borderId="0" xfId="6" applyNumberFormat="1" applyFont="1" applyFill="1" applyAlignment="1">
      <alignment vertical="center"/>
    </xf>
    <xf numFmtId="0" fontId="24" fillId="0" borderId="9" xfId="6" quotePrefix="1" applyFont="1" applyBorder="1" applyAlignment="1">
      <alignment vertical="center"/>
    </xf>
    <xf numFmtId="0" fontId="24" fillId="0" borderId="42" xfId="6" applyFont="1" applyBorder="1" applyAlignment="1">
      <alignment horizontal="center" vertical="center"/>
    </xf>
    <xf numFmtId="3" fontId="24" fillId="0" borderId="42" xfId="6" applyNumberFormat="1" applyFont="1" applyBorder="1" applyAlignment="1">
      <alignment vertical="center"/>
    </xf>
    <xf numFmtId="3" fontId="24" fillId="0" borderId="42" xfId="6" applyNumberFormat="1" applyFont="1" applyFill="1" applyBorder="1" applyAlignment="1">
      <alignment vertical="center"/>
    </xf>
    <xf numFmtId="0" fontId="11" fillId="0" borderId="7" xfId="6" applyFont="1" applyFill="1" applyBorder="1" applyAlignment="1">
      <alignment horizontal="center" vertical="center"/>
    </xf>
    <xf numFmtId="0" fontId="11" fillId="0" borderId="18" xfId="6" applyFont="1" applyFill="1" applyBorder="1" applyAlignment="1">
      <alignment horizontal="center" vertical="center"/>
    </xf>
    <xf numFmtId="0" fontId="11" fillId="0" borderId="15" xfId="6" applyFont="1" applyFill="1" applyBorder="1" applyAlignment="1">
      <alignment horizontal="center" vertical="center"/>
    </xf>
    <xf numFmtId="164" fontId="11" fillId="0" borderId="0" xfId="2" applyNumberFormat="1" applyFont="1" applyFill="1" applyAlignment="1">
      <alignment vertical="center"/>
    </xf>
    <xf numFmtId="0" fontId="11" fillId="0" borderId="7" xfId="6" applyFont="1" applyFill="1" applyBorder="1" applyAlignment="1">
      <alignment horizontal="center" vertical="center"/>
    </xf>
    <xf numFmtId="0" fontId="11" fillId="0" borderId="18" xfId="6" applyFont="1" applyFill="1" applyBorder="1" applyAlignment="1">
      <alignment horizontal="center" vertical="center"/>
    </xf>
    <xf numFmtId="0" fontId="11" fillId="0" borderId="15" xfId="6" applyFont="1" applyFill="1" applyBorder="1" applyAlignment="1">
      <alignment horizontal="center" vertical="center"/>
    </xf>
    <xf numFmtId="0" fontId="18" fillId="0" borderId="0" xfId="6" applyFont="1" applyFill="1" applyAlignment="1">
      <alignment horizontal="left" vertical="center"/>
    </xf>
    <xf numFmtId="164" fontId="12" fillId="0" borderId="0" xfId="6" applyNumberFormat="1" applyFont="1" applyFill="1" applyBorder="1" applyAlignment="1">
      <alignment vertical="center"/>
    </xf>
    <xf numFmtId="164" fontId="14" fillId="0" borderId="0" xfId="6" applyNumberFormat="1" applyFont="1" applyFill="1" applyAlignment="1">
      <alignment horizontal="right" vertical="center"/>
    </xf>
    <xf numFmtId="0" fontId="122" fillId="0" borderId="0" xfId="0" applyFont="1" applyFill="1" applyAlignment="1">
      <alignment vertical="center"/>
    </xf>
    <xf numFmtId="164" fontId="122" fillId="0" borderId="0" xfId="0" applyNumberFormat="1" applyFont="1" applyFill="1" applyAlignment="1">
      <alignment vertical="center"/>
    </xf>
    <xf numFmtId="164" fontId="20" fillId="0" borderId="0" xfId="0" applyNumberFormat="1" applyFont="1" applyFill="1" applyAlignment="1">
      <alignment horizontal="center" vertical="center"/>
    </xf>
    <xf numFmtId="0" fontId="20" fillId="0" borderId="0" xfId="0" applyFont="1" applyAlignment="1">
      <alignment horizontal="center" vertical="center"/>
    </xf>
    <xf numFmtId="164" fontId="11" fillId="0" borderId="14" xfId="2" applyNumberFormat="1" applyFont="1" applyBorder="1" applyAlignment="1">
      <alignment vertical="center"/>
    </xf>
    <xf numFmtId="3" fontId="11" fillId="0" borderId="14" xfId="0" applyNumberFormat="1" applyFont="1" applyBorder="1" applyAlignment="1">
      <alignment vertical="center"/>
    </xf>
    <xf numFmtId="164" fontId="30" fillId="0" borderId="14" xfId="2" applyNumberFormat="1" applyFont="1" applyBorder="1" applyAlignment="1">
      <alignment vertical="center"/>
    </xf>
    <xf numFmtId="3" fontId="26" fillId="0" borderId="14" xfId="0" applyNumberFormat="1" applyFont="1" applyBorder="1" applyAlignment="1">
      <alignment vertical="center"/>
    </xf>
    <xf numFmtId="3" fontId="21" fillId="0" borderId="30" xfId="0" applyNumberFormat="1" applyFont="1" applyBorder="1" applyAlignment="1">
      <alignment vertical="center"/>
    </xf>
    <xf numFmtId="3" fontId="20" fillId="0" borderId="27" xfId="0" applyNumberFormat="1" applyFont="1" applyFill="1" applyBorder="1" applyAlignment="1">
      <alignment vertical="center"/>
    </xf>
    <xf numFmtId="0" fontId="123" fillId="0" borderId="0" xfId="0" applyFont="1" applyFill="1" applyAlignment="1">
      <alignment vertical="center"/>
    </xf>
    <xf numFmtId="164" fontId="122" fillId="0" borderId="0" xfId="2" applyNumberFormat="1" applyFont="1" applyFill="1" applyAlignment="1">
      <alignment vertical="center"/>
    </xf>
    <xf numFmtId="0" fontId="20" fillId="0" borderId="14" xfId="0" applyFont="1" applyFill="1" applyBorder="1" applyAlignment="1">
      <alignment horizontal="center" vertical="center"/>
    </xf>
    <xf numFmtId="0" fontId="20" fillId="0" borderId="14" xfId="6" applyFont="1" applyFill="1" applyBorder="1" applyAlignment="1">
      <alignment vertical="center"/>
    </xf>
    <xf numFmtId="164" fontId="20" fillId="0" borderId="14" xfId="2" applyNumberFormat="1" applyFont="1" applyFill="1" applyBorder="1" applyAlignment="1">
      <alignment vertical="center"/>
    </xf>
    <xf numFmtId="164" fontId="20" fillId="0" borderId="14" xfId="0" applyNumberFormat="1" applyFont="1" applyFill="1" applyBorder="1" applyAlignment="1">
      <alignment vertical="center"/>
    </xf>
    <xf numFmtId="0" fontId="20" fillId="0" borderId="14" xfId="0" applyFont="1" applyFill="1" applyBorder="1" applyAlignment="1">
      <alignment vertical="center"/>
    </xf>
    <xf numFmtId="164" fontId="123" fillId="0" borderId="0" xfId="2" applyNumberFormat="1" applyFont="1" applyFill="1" applyAlignment="1">
      <alignment vertical="center"/>
    </xf>
    <xf numFmtId="0" fontId="18" fillId="0" borderId="14" xfId="0" applyFont="1" applyFill="1" applyBorder="1" applyAlignment="1">
      <alignment horizontal="center" vertical="center" wrapText="1"/>
    </xf>
    <xf numFmtId="0" fontId="27" fillId="0" borderId="0" xfId="0" applyFont="1" applyFill="1" applyBorder="1" applyAlignment="1">
      <alignment horizontal="center" vertical="center"/>
    </xf>
    <xf numFmtId="0" fontId="18" fillId="0" borderId="0" xfId="0" applyFont="1" applyFill="1" applyAlignment="1">
      <alignment horizontal="right" vertical="center"/>
    </xf>
    <xf numFmtId="164" fontId="14" fillId="0" borderId="23" xfId="2" applyNumberFormat="1" applyFont="1" applyFill="1" applyBorder="1" applyAlignment="1">
      <alignment vertical="center"/>
    </xf>
    <xf numFmtId="164" fontId="14" fillId="0" borderId="23" xfId="2" quotePrefix="1" applyNumberFormat="1" applyFont="1" applyFill="1" applyBorder="1" applyAlignment="1">
      <alignment horizontal="center" vertical="center"/>
    </xf>
    <xf numFmtId="0" fontId="14" fillId="0" borderId="0" xfId="6" applyFont="1" applyFill="1" applyAlignment="1">
      <alignment vertical="center"/>
    </xf>
    <xf numFmtId="164" fontId="18" fillId="0" borderId="0" xfId="2" applyNumberFormat="1" applyFont="1" applyAlignment="1">
      <alignment vertical="center"/>
    </xf>
    <xf numFmtId="3" fontId="18" fillId="0" borderId="29" xfId="0" applyNumberFormat="1" applyFont="1" applyBorder="1" applyAlignment="1">
      <alignment vertical="center"/>
    </xf>
    <xf numFmtId="0" fontId="119" fillId="0" borderId="0" xfId="6" applyFont="1" applyFill="1" applyBorder="1" applyAlignment="1">
      <alignment horizontal="left" vertical="center"/>
    </xf>
    <xf numFmtId="0" fontId="12" fillId="0" borderId="0" xfId="0" applyFont="1" applyAlignment="1">
      <alignment horizontal="center" vertical="center" wrapText="1"/>
    </xf>
    <xf numFmtId="0" fontId="11" fillId="0" borderId="0" xfId="8"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1" fillId="0" borderId="7" xfId="6" applyFont="1" applyFill="1" applyBorder="1" applyAlignment="1">
      <alignment horizontal="center" vertical="center"/>
    </xf>
    <xf numFmtId="0" fontId="11" fillId="0" borderId="18" xfId="6" applyFont="1" applyFill="1" applyBorder="1" applyAlignment="1">
      <alignment horizontal="center" vertical="center"/>
    </xf>
    <xf numFmtId="49" fontId="11" fillId="0" borderId="23" xfId="11" applyNumberFormat="1" applyFont="1" applyFill="1" applyBorder="1" applyAlignment="1">
      <alignment vertical="center" wrapText="1"/>
    </xf>
    <xf numFmtId="0" fontId="26" fillId="0" borderId="0" xfId="0" applyFont="1" applyBorder="1" applyAlignment="1">
      <alignment horizontal="center" vertical="center"/>
    </xf>
    <xf numFmtId="0" fontId="25" fillId="0" borderId="0" xfId="0" quotePrefix="1" applyFont="1" applyBorder="1" applyAlignment="1">
      <alignment horizontal="center" vertical="center"/>
    </xf>
    <xf numFmtId="164" fontId="26" fillId="0" borderId="19" xfId="2" applyNumberFormat="1" applyFont="1" applyBorder="1" applyAlignment="1">
      <alignment vertical="center"/>
    </xf>
    <xf numFmtId="164" fontId="25" fillId="0" borderId="0" xfId="2" applyNumberFormat="1" applyFont="1" applyBorder="1" applyAlignment="1">
      <alignment vertical="center"/>
    </xf>
    <xf numFmtId="164" fontId="25" fillId="0" borderId="0" xfId="2" applyNumberFormat="1" applyFont="1" applyFill="1" applyBorder="1" applyAlignment="1">
      <alignment vertical="center"/>
    </xf>
    <xf numFmtId="3" fontId="36" fillId="0" borderId="27" xfId="6" applyNumberFormat="1" applyFont="1" applyFill="1" applyBorder="1" applyAlignment="1">
      <alignment vertical="center"/>
    </xf>
    <xf numFmtId="37" fontId="11" fillId="0" borderId="10" xfId="2" applyNumberFormat="1" applyFont="1" applyFill="1" applyBorder="1" applyAlignment="1">
      <alignment vertical="center"/>
    </xf>
    <xf numFmtId="37" fontId="11" fillId="0" borderId="9" xfId="2" applyNumberFormat="1" applyFont="1" applyFill="1" applyBorder="1" applyAlignment="1">
      <alignment vertical="center"/>
    </xf>
    <xf numFmtId="43" fontId="11" fillId="0" borderId="23" xfId="2" quotePrefix="1" applyFont="1" applyFill="1" applyBorder="1" applyAlignment="1">
      <alignment horizontal="center" vertical="center"/>
    </xf>
    <xf numFmtId="0" fontId="18" fillId="0" borderId="18" xfId="6" applyFont="1" applyBorder="1" applyAlignment="1">
      <alignment horizontal="center" vertical="center" wrapText="1"/>
    </xf>
    <xf numFmtId="3" fontId="18" fillId="0" borderId="27" xfId="6" applyNumberFormat="1" applyFont="1" applyFill="1" applyBorder="1" applyAlignment="1">
      <alignment vertical="center"/>
    </xf>
    <xf numFmtId="3" fontId="18" fillId="0" borderId="29" xfId="6" applyNumberFormat="1" applyFont="1" applyBorder="1" applyAlignment="1">
      <alignment vertical="center"/>
    </xf>
    <xf numFmtId="164" fontId="14" fillId="0" borderId="0" xfId="2" quotePrefix="1" applyNumberFormat="1" applyFont="1" applyFill="1" applyBorder="1" applyAlignment="1">
      <alignment horizontal="center" vertical="center"/>
    </xf>
    <xf numFmtId="164" fontId="27" fillId="0" borderId="0" xfId="2" applyNumberFormat="1" applyFont="1" applyFill="1" applyAlignment="1">
      <alignment vertical="center"/>
    </xf>
    <xf numFmtId="164" fontId="13" fillId="0" borderId="23" xfId="2" applyNumberFormat="1" applyFont="1" applyFill="1" applyBorder="1" applyAlignment="1">
      <alignment vertical="center"/>
    </xf>
    <xf numFmtId="0" fontId="11" fillId="0" borderId="0" xfId="6" applyFont="1" applyFill="1" applyAlignment="1">
      <alignment vertical="center"/>
    </xf>
    <xf numFmtId="0" fontId="12" fillId="0" borderId="27" xfId="0" applyFont="1" applyBorder="1" applyAlignment="1">
      <alignment vertical="center"/>
    </xf>
    <xf numFmtId="164" fontId="25" fillId="0" borderId="29" xfId="2" applyNumberFormat="1" applyFont="1" applyBorder="1" applyAlignment="1">
      <alignment horizontal="center" vertical="center"/>
    </xf>
    <xf numFmtId="0" fontId="12" fillId="0" borderId="29" xfId="0" applyFont="1" applyBorder="1" applyAlignment="1">
      <alignment vertical="center"/>
    </xf>
    <xf numFmtId="164" fontId="46" fillId="0" borderId="0" xfId="2" applyNumberFormat="1" applyFont="1" applyFill="1" applyAlignment="1">
      <alignment vertical="center"/>
    </xf>
    <xf numFmtId="0" fontId="46" fillId="0" borderId="0" xfId="6" applyFont="1" applyFill="1" applyAlignment="1">
      <alignment vertical="center"/>
    </xf>
    <xf numFmtId="0" fontId="32" fillId="0" borderId="0" xfId="6" applyFont="1" applyFill="1" applyAlignment="1">
      <alignment vertical="center"/>
    </xf>
    <xf numFmtId="164" fontId="35" fillId="0" borderId="0" xfId="2" applyNumberFormat="1" applyFont="1" applyFill="1" applyAlignment="1">
      <alignment vertical="center"/>
    </xf>
    <xf numFmtId="0" fontId="47" fillId="0" borderId="0" xfId="6" applyFont="1" applyFill="1" applyAlignment="1">
      <alignment vertical="center"/>
    </xf>
    <xf numFmtId="164" fontId="32" fillId="0" borderId="0" xfId="2" applyNumberFormat="1" applyFont="1" applyFill="1" applyAlignment="1">
      <alignment vertical="center"/>
    </xf>
    <xf numFmtId="0" fontId="119" fillId="0" borderId="0" xfId="6" applyFont="1" applyFill="1" applyAlignment="1">
      <alignment vertical="center" wrapText="1"/>
    </xf>
    <xf numFmtId="164" fontId="120" fillId="0" borderId="0" xfId="2" applyNumberFormat="1" applyFont="1" applyFill="1" applyAlignment="1">
      <alignment vertical="center" wrapText="1"/>
    </xf>
    <xf numFmtId="0" fontId="24" fillId="0" borderId="0" xfId="6" applyFont="1" applyFill="1" applyAlignment="1">
      <alignment horizontal="center" vertical="center"/>
    </xf>
    <xf numFmtId="0" fontId="20" fillId="0" borderId="0" xfId="6" applyFont="1" applyFill="1" applyAlignment="1">
      <alignment horizontal="center" vertical="center"/>
    </xf>
    <xf numFmtId="0" fontId="18" fillId="27" borderId="0" xfId="6" applyFont="1" applyFill="1" applyAlignment="1">
      <alignment horizontal="right" vertical="center"/>
    </xf>
    <xf numFmtId="0" fontId="18" fillId="27" borderId="0" xfId="6" applyFont="1" applyFill="1" applyAlignment="1">
      <alignment horizontal="center" vertical="center"/>
    </xf>
    <xf numFmtId="3" fontId="5" fillId="0" borderId="0" xfId="0" applyNumberFormat="1" applyFont="1"/>
    <xf numFmtId="3" fontId="32" fillId="0" borderId="0" xfId="6" applyNumberFormat="1" applyFont="1" applyFill="1" applyAlignment="1">
      <alignment vertical="center"/>
    </xf>
    <xf numFmtId="3" fontId="39" fillId="0" borderId="0" xfId="0" applyNumberFormat="1" applyFont="1"/>
    <xf numFmtId="164" fontId="11" fillId="0" borderId="0" xfId="0" applyNumberFormat="1" applyFont="1" applyFill="1" applyAlignment="1">
      <alignment vertical="center"/>
    </xf>
    <xf numFmtId="3" fontId="12" fillId="0" borderId="0" xfId="0" applyNumberFormat="1" applyFont="1" applyFill="1" applyAlignment="1">
      <alignment vertical="center"/>
    </xf>
    <xf numFmtId="0" fontId="20" fillId="0" borderId="0" xfId="6" applyFont="1" applyFill="1" applyAlignment="1">
      <alignment horizontal="centerContinuous" vertical="center"/>
    </xf>
    <xf numFmtId="37" fontId="20" fillId="0" borderId="0" xfId="6" applyNumberFormat="1" applyFont="1" applyFill="1" applyAlignment="1">
      <alignment horizontal="center" vertical="center"/>
    </xf>
    <xf numFmtId="0" fontId="20" fillId="0" borderId="0" xfId="6" applyFont="1" applyFill="1" applyAlignment="1">
      <alignment horizontal="right" vertical="center"/>
    </xf>
    <xf numFmtId="0" fontId="18" fillId="0" borderId="0" xfId="6" quotePrefix="1" applyFont="1" applyFill="1" applyAlignment="1">
      <alignment horizontal="right" vertical="center"/>
    </xf>
    <xf numFmtId="37" fontId="20" fillId="0" borderId="0" xfId="6" applyNumberFormat="1" applyFont="1" applyFill="1" applyAlignment="1">
      <alignment horizontal="right" vertical="center"/>
    </xf>
    <xf numFmtId="0" fontId="18" fillId="0" borderId="7" xfId="6" applyFont="1" applyFill="1" applyBorder="1" applyAlignment="1">
      <alignment horizontal="center" vertical="center" wrapText="1"/>
    </xf>
    <xf numFmtId="0" fontId="18" fillId="0" borderId="25" xfId="6" applyFont="1" applyFill="1" applyBorder="1" applyAlignment="1">
      <alignment horizontal="center" vertical="center" wrapText="1"/>
    </xf>
    <xf numFmtId="0" fontId="18" fillId="0" borderId="7" xfId="6" quotePrefix="1" applyFont="1" applyFill="1" applyBorder="1" applyAlignment="1">
      <alignment horizontal="center" vertical="center" wrapText="1"/>
    </xf>
    <xf numFmtId="37" fontId="18" fillId="0" borderId="14" xfId="6" applyNumberFormat="1" applyFont="1" applyFill="1" applyBorder="1" applyAlignment="1">
      <alignment horizontal="right" vertical="center"/>
    </xf>
    <xf numFmtId="4" fontId="18" fillId="0" borderId="14" xfId="6" applyNumberFormat="1" applyFont="1" applyFill="1" applyBorder="1" applyAlignment="1">
      <alignment horizontal="right" vertical="center"/>
    </xf>
    <xf numFmtId="3" fontId="18" fillId="0" borderId="14" xfId="6" applyNumberFormat="1" applyFont="1" applyFill="1" applyBorder="1" applyAlignment="1">
      <alignment horizontal="right" vertical="center"/>
    </xf>
    <xf numFmtId="3" fontId="18" fillId="0" borderId="14" xfId="6" applyNumberFormat="1" applyFont="1" applyFill="1" applyBorder="1" applyAlignment="1">
      <alignment vertical="center"/>
    </xf>
    <xf numFmtId="3" fontId="18" fillId="0" borderId="14" xfId="6" applyNumberFormat="1" applyFont="1" applyFill="1" applyBorder="1" applyAlignment="1">
      <alignment horizontal="center" vertical="center"/>
    </xf>
    <xf numFmtId="3" fontId="20" fillId="0" borderId="14" xfId="6" applyNumberFormat="1" applyFont="1" applyFill="1" applyBorder="1" applyAlignment="1">
      <alignment horizontal="center" vertical="center"/>
    </xf>
    <xf numFmtId="3" fontId="20" fillId="0" borderId="14" xfId="6" applyNumberFormat="1" applyFont="1" applyFill="1" applyBorder="1" applyAlignment="1">
      <alignment horizontal="left" vertical="center" wrapText="1"/>
    </xf>
    <xf numFmtId="37" fontId="20" fillId="0" borderId="14" xfId="6" applyNumberFormat="1" applyFont="1" applyFill="1" applyBorder="1" applyAlignment="1">
      <alignment horizontal="right" vertical="center"/>
    </xf>
    <xf numFmtId="4" fontId="20" fillId="0" borderId="14" xfId="6" applyNumberFormat="1" applyFont="1" applyFill="1" applyBorder="1" applyAlignment="1">
      <alignment horizontal="right" vertical="center"/>
    </xf>
    <xf numFmtId="3" fontId="20" fillId="0" borderId="14" xfId="6" applyNumberFormat="1" applyFont="1" applyFill="1" applyBorder="1" applyAlignment="1">
      <alignment horizontal="right" vertical="center"/>
    </xf>
    <xf numFmtId="4" fontId="20" fillId="0" borderId="14" xfId="6" applyNumberFormat="1" applyFont="1" applyFill="1" applyBorder="1" applyAlignment="1">
      <alignment vertical="center"/>
    </xf>
    <xf numFmtId="4" fontId="18" fillId="0" borderId="14" xfId="6" applyNumberFormat="1" applyFont="1" applyFill="1" applyBorder="1" applyAlignment="1">
      <alignment vertical="center"/>
    </xf>
    <xf numFmtId="3" fontId="20" fillId="0" borderId="14" xfId="6" applyNumberFormat="1" applyFont="1" applyFill="1" applyBorder="1" applyAlignment="1">
      <alignment vertical="center"/>
    </xf>
    <xf numFmtId="37" fontId="20" fillId="0" borderId="14" xfId="6" applyNumberFormat="1" applyFont="1" applyFill="1" applyBorder="1" applyAlignment="1">
      <alignment vertical="center"/>
    </xf>
    <xf numFmtId="0" fontId="20" fillId="0" borderId="14" xfId="6" applyFont="1" applyFill="1" applyBorder="1" applyAlignment="1">
      <alignment horizontal="center" vertical="center"/>
    </xf>
    <xf numFmtId="0" fontId="18" fillId="0" borderId="14" xfId="6" applyFont="1" applyFill="1" applyBorder="1" applyAlignment="1">
      <alignment horizontal="center" vertical="center"/>
    </xf>
    <xf numFmtId="0" fontId="18" fillId="0" borderId="14" xfId="6" applyFont="1" applyFill="1" applyBorder="1" applyAlignment="1">
      <alignment vertical="center" wrapText="1"/>
    </xf>
    <xf numFmtId="0" fontId="18" fillId="0" borderId="14" xfId="6" applyFont="1" applyFill="1" applyBorder="1" applyAlignment="1">
      <alignment horizontal="right" vertical="center"/>
    </xf>
    <xf numFmtId="210" fontId="18" fillId="0" borderId="14" xfId="6" applyNumberFormat="1" applyFont="1" applyFill="1" applyBorder="1" applyAlignment="1">
      <alignment horizontal="right" vertical="center"/>
    </xf>
    <xf numFmtId="3" fontId="20" fillId="0" borderId="14" xfId="6" applyNumberFormat="1" applyFont="1" applyFill="1" applyBorder="1" applyAlignment="1">
      <alignment vertical="center" wrapText="1"/>
    </xf>
    <xf numFmtId="3" fontId="18" fillId="0" borderId="14" xfId="6" applyNumberFormat="1" applyFont="1" applyFill="1" applyBorder="1" applyAlignment="1">
      <alignment horizontal="left" vertical="center" wrapText="1"/>
    </xf>
    <xf numFmtId="10" fontId="20" fillId="0" borderId="14" xfId="6" applyNumberFormat="1" applyFont="1" applyFill="1" applyBorder="1" applyAlignment="1">
      <alignment horizontal="right" vertical="center"/>
    </xf>
    <xf numFmtId="3" fontId="18" fillId="0" borderId="14" xfId="6" applyNumberFormat="1" applyFont="1" applyFill="1" applyBorder="1" applyAlignment="1">
      <alignment vertical="center" wrapText="1"/>
    </xf>
    <xf numFmtId="0" fontId="12" fillId="0" borderId="0" xfId="6" applyFont="1" applyFill="1" applyAlignment="1">
      <alignment horizontal="centerContinuous" vertical="center"/>
    </xf>
    <xf numFmtId="0" fontId="11" fillId="0" borderId="0" xfId="6" applyFont="1" applyFill="1" applyAlignment="1">
      <alignment horizontal="left" vertical="center"/>
    </xf>
    <xf numFmtId="0" fontId="27" fillId="0" borderId="0" xfId="6" applyFont="1" applyFill="1" applyAlignment="1">
      <alignment horizontal="center" vertical="center"/>
    </xf>
    <xf numFmtId="0" fontId="27" fillId="0" borderId="0" xfId="6" applyFont="1" applyFill="1" applyAlignment="1">
      <alignment horizontal="left" vertical="center"/>
    </xf>
    <xf numFmtId="0" fontId="20" fillId="0" borderId="0" xfId="6" applyFont="1" applyFill="1" applyAlignment="1">
      <alignment vertical="center"/>
    </xf>
    <xf numFmtId="0" fontId="27" fillId="0" borderId="0" xfId="6" applyFont="1" applyFill="1" applyBorder="1" applyAlignment="1">
      <alignment horizontal="center" vertical="center"/>
    </xf>
    <xf numFmtId="0" fontId="27" fillId="0" borderId="0" xfId="6" applyFont="1" applyFill="1" applyBorder="1" applyAlignment="1">
      <alignment vertical="center"/>
    </xf>
    <xf numFmtId="0" fontId="18" fillId="0" borderId="21" xfId="6" applyFont="1" applyFill="1" applyBorder="1" applyAlignment="1">
      <alignment horizontal="center" vertical="center" wrapText="1"/>
    </xf>
    <xf numFmtId="0" fontId="30" fillId="0" borderId="14" xfId="6" applyFont="1" applyFill="1" applyBorder="1" applyAlignment="1">
      <alignment horizontal="center" vertical="center"/>
    </xf>
    <xf numFmtId="0" fontId="18" fillId="0" borderId="14" xfId="6" applyFont="1" applyFill="1" applyBorder="1" applyAlignment="1">
      <alignment vertical="center"/>
    </xf>
    <xf numFmtId="0" fontId="18" fillId="0" borderId="15" xfId="6" applyFont="1" applyFill="1" applyBorder="1" applyAlignment="1">
      <alignment horizontal="center" vertical="center"/>
    </xf>
    <xf numFmtId="0" fontId="18" fillId="0" borderId="15" xfId="6" applyFont="1" applyFill="1" applyBorder="1" applyAlignment="1">
      <alignment vertical="center"/>
    </xf>
    <xf numFmtId="3" fontId="18" fillId="0" borderId="15" xfId="6" applyNumberFormat="1" applyFont="1" applyFill="1" applyBorder="1" applyAlignment="1">
      <alignment vertical="center"/>
    </xf>
    <xf numFmtId="4" fontId="18" fillId="0" borderId="15" xfId="6" applyNumberFormat="1" applyFont="1" applyFill="1" applyBorder="1" applyAlignment="1">
      <alignment vertical="center"/>
    </xf>
    <xf numFmtId="0" fontId="26" fillId="0" borderId="14" xfId="6" applyFont="1" applyBorder="1" applyAlignment="1">
      <alignment horizontal="center" vertical="center"/>
    </xf>
    <xf numFmtId="0" fontId="26" fillId="0" borderId="20" xfId="6" applyFont="1" applyBorder="1" applyAlignment="1">
      <alignment horizontal="center" vertical="center"/>
    </xf>
    <xf numFmtId="0" fontId="26" fillId="0" borderId="14" xfId="6" applyFont="1" applyFill="1" applyBorder="1" applyAlignment="1">
      <alignment horizontal="center" vertical="center"/>
    </xf>
    <xf numFmtId="0" fontId="26" fillId="0" borderId="14" xfId="6" quotePrefix="1" applyFont="1" applyBorder="1" applyAlignment="1">
      <alignment horizontal="center" vertical="center"/>
    </xf>
    <xf numFmtId="0" fontId="24" fillId="0" borderId="42" xfId="6" applyFont="1" applyBorder="1" applyAlignment="1">
      <alignment vertical="center" wrapText="1"/>
    </xf>
    <xf numFmtId="0" fontId="18" fillId="0" borderId="7" xfId="6" applyFont="1" applyFill="1" applyBorder="1" applyAlignment="1">
      <alignment horizontal="center" vertical="center" wrapText="1"/>
    </xf>
    <xf numFmtId="164" fontId="35" fillId="0" borderId="0" xfId="2" applyNumberFormat="1" applyFont="1" applyFill="1" applyBorder="1" applyAlignment="1">
      <alignment horizontal="right" vertical="center"/>
    </xf>
    <xf numFmtId="164" fontId="119" fillId="0" borderId="0" xfId="2" applyNumberFormat="1" applyFont="1" applyFill="1" applyBorder="1" applyAlignment="1">
      <alignment horizontal="center" vertical="center"/>
    </xf>
    <xf numFmtId="0" fontId="20" fillId="0" borderId="30" xfId="6" applyFont="1" applyFill="1" applyBorder="1" applyAlignment="1">
      <alignment horizontal="center" vertical="center"/>
    </xf>
    <xf numFmtId="0" fontId="20" fillId="0" borderId="30" xfId="6" applyFont="1" applyFill="1" applyBorder="1" applyAlignment="1">
      <alignment vertical="center"/>
    </xf>
    <xf numFmtId="164" fontId="20" fillId="0" borderId="30" xfId="2" applyNumberFormat="1" applyFont="1" applyFill="1" applyBorder="1" applyAlignment="1">
      <alignment vertical="center"/>
    </xf>
    <xf numFmtId="3" fontId="20" fillId="0" borderId="30" xfId="6" applyNumberFormat="1" applyFont="1" applyFill="1" applyBorder="1" applyAlignment="1">
      <alignment vertical="center"/>
    </xf>
    <xf numFmtId="4" fontId="20" fillId="0" borderId="30" xfId="6" applyNumberFormat="1" applyFont="1" applyFill="1" applyBorder="1" applyAlignment="1">
      <alignment vertical="center"/>
    </xf>
    <xf numFmtId="0" fontId="20" fillId="0" borderId="27" xfId="6" applyFont="1" applyFill="1" applyBorder="1" applyAlignment="1">
      <alignment horizontal="center" vertical="center"/>
    </xf>
    <xf numFmtId="0" fontId="20" fillId="0" borderId="27" xfId="6" applyFont="1" applyFill="1" applyBorder="1" applyAlignment="1">
      <alignment vertical="center"/>
    </xf>
    <xf numFmtId="3" fontId="20" fillId="0" borderId="27" xfId="6" applyNumberFormat="1" applyFont="1" applyFill="1" applyBorder="1" applyAlignment="1">
      <alignment vertical="center"/>
    </xf>
    <xf numFmtId="4" fontId="20" fillId="0" borderId="27" xfId="6" applyNumberFormat="1" applyFont="1" applyFill="1" applyBorder="1" applyAlignment="1">
      <alignment vertical="center"/>
    </xf>
    <xf numFmtId="0" fontId="20" fillId="0" borderId="29" xfId="6" applyFont="1" applyFill="1" applyBorder="1" applyAlignment="1">
      <alignment horizontal="center" vertical="center"/>
    </xf>
    <xf numFmtId="0" fontId="20" fillId="0" borderId="29" xfId="6" applyFont="1" applyFill="1" applyBorder="1" applyAlignment="1">
      <alignment vertical="center"/>
    </xf>
    <xf numFmtId="164" fontId="20" fillId="0" borderId="29" xfId="2" applyNumberFormat="1" applyFont="1" applyFill="1" applyBorder="1" applyAlignment="1">
      <alignment vertical="center"/>
    </xf>
    <xf numFmtId="3" fontId="20" fillId="0" borderId="29" xfId="6" applyNumberFormat="1" applyFont="1" applyFill="1" applyBorder="1" applyAlignment="1">
      <alignment vertical="center"/>
    </xf>
    <xf numFmtId="4" fontId="20" fillId="0" borderId="29" xfId="6" applyNumberFormat="1" applyFont="1" applyFill="1" applyBorder="1" applyAlignment="1">
      <alignment vertical="center"/>
    </xf>
    <xf numFmtId="3" fontId="0" fillId="0" borderId="0" xfId="0" applyNumberFormat="1" applyAlignment="1">
      <alignment vertical="center"/>
    </xf>
    <xf numFmtId="0" fontId="0" fillId="0" borderId="0" xfId="0" applyAlignment="1">
      <alignment vertical="center"/>
    </xf>
    <xf numFmtId="3" fontId="124" fillId="0" borderId="0" xfId="0" applyNumberFormat="1" applyFont="1" applyAlignment="1">
      <alignment vertical="center"/>
    </xf>
    <xf numFmtId="0" fontId="124" fillId="0" borderId="0" xfId="0" applyFont="1" applyAlignment="1">
      <alignment vertical="center"/>
    </xf>
    <xf numFmtId="3" fontId="125" fillId="0" borderId="0" xfId="0" applyNumberFormat="1" applyFont="1" applyAlignment="1">
      <alignment vertical="center"/>
    </xf>
    <xf numFmtId="0" fontId="125" fillId="0" borderId="0" xfId="0" applyFont="1" applyAlignment="1">
      <alignment vertical="center"/>
    </xf>
    <xf numFmtId="3" fontId="0" fillId="0" borderId="0" xfId="0" applyNumberFormat="1" applyFont="1" applyAlignment="1">
      <alignment vertical="center"/>
    </xf>
    <xf numFmtId="0" fontId="0" fillId="0" borderId="0" xfId="0" applyFont="1" applyAlignment="1">
      <alignment vertical="center"/>
    </xf>
    <xf numFmtId="3" fontId="0" fillId="0" borderId="0" xfId="0" applyNumberFormat="1" applyFill="1" applyAlignment="1">
      <alignment vertical="center"/>
    </xf>
    <xf numFmtId="3" fontId="20" fillId="0" borderId="30" xfId="6" applyNumberFormat="1" applyFont="1" applyFill="1" applyBorder="1" applyAlignment="1">
      <alignment horizontal="center" vertical="center"/>
    </xf>
    <xf numFmtId="3" fontId="20" fillId="0" borderId="30" xfId="6" applyNumberFormat="1" applyFont="1" applyFill="1" applyBorder="1" applyAlignment="1">
      <alignment horizontal="left" vertical="center" wrapText="1"/>
    </xf>
    <xf numFmtId="37" fontId="20" fillId="0" borderId="30" xfId="6" applyNumberFormat="1" applyFont="1" applyFill="1" applyBorder="1" applyAlignment="1">
      <alignment horizontal="right" vertical="center"/>
    </xf>
    <xf numFmtId="4" fontId="20" fillId="0" borderId="30" xfId="6" applyNumberFormat="1" applyFont="1" applyFill="1" applyBorder="1" applyAlignment="1">
      <alignment horizontal="right" vertical="center"/>
    </xf>
    <xf numFmtId="3" fontId="20" fillId="0" borderId="30" xfId="6" applyNumberFormat="1" applyFont="1" applyFill="1" applyBorder="1" applyAlignment="1">
      <alignment horizontal="right" vertical="center"/>
    </xf>
    <xf numFmtId="3" fontId="20" fillId="0" borderId="27" xfId="6" applyNumberFormat="1" applyFont="1" applyFill="1" applyBorder="1" applyAlignment="1">
      <alignment horizontal="center" vertical="center"/>
    </xf>
    <xf numFmtId="3" fontId="20" fillId="0" borderId="27" xfId="6" applyNumberFormat="1" applyFont="1" applyFill="1" applyBorder="1" applyAlignment="1">
      <alignment horizontal="left" vertical="center" wrapText="1"/>
    </xf>
    <xf numFmtId="37" fontId="20" fillId="0" borderId="27" xfId="6" applyNumberFormat="1" applyFont="1" applyFill="1" applyBorder="1" applyAlignment="1">
      <alignment horizontal="right" vertical="center"/>
    </xf>
    <xf numFmtId="4" fontId="20" fillId="0" borderId="27" xfId="6" applyNumberFormat="1" applyFont="1" applyFill="1" applyBorder="1" applyAlignment="1">
      <alignment horizontal="right" vertical="center"/>
    </xf>
    <xf numFmtId="3" fontId="20" fillId="0" borderId="27" xfId="6" applyNumberFormat="1" applyFont="1" applyFill="1" applyBorder="1" applyAlignment="1">
      <alignment horizontal="right" vertical="center"/>
    </xf>
    <xf numFmtId="37" fontId="20" fillId="0" borderId="27" xfId="6" applyNumberFormat="1" applyFont="1" applyFill="1" applyBorder="1" applyAlignment="1">
      <alignment vertical="center"/>
    </xf>
    <xf numFmtId="3" fontId="20" fillId="0" borderId="29" xfId="6" applyNumberFormat="1" applyFont="1" applyFill="1" applyBorder="1" applyAlignment="1">
      <alignment horizontal="center" vertical="center"/>
    </xf>
    <xf numFmtId="3" fontId="20" fillId="0" borderId="29" xfId="6" applyNumberFormat="1" applyFont="1" applyFill="1" applyBorder="1" applyAlignment="1">
      <alignment horizontal="left" vertical="center" wrapText="1"/>
    </xf>
    <xf numFmtId="37" fontId="20" fillId="0" borderId="29" xfId="6" applyNumberFormat="1" applyFont="1" applyFill="1" applyBorder="1" applyAlignment="1">
      <alignment vertical="center"/>
    </xf>
    <xf numFmtId="37" fontId="20" fillId="0" borderId="29" xfId="6" applyNumberFormat="1" applyFont="1" applyFill="1" applyBorder="1" applyAlignment="1">
      <alignment horizontal="right" vertical="center"/>
    </xf>
    <xf numFmtId="4" fontId="20" fillId="0" borderId="29" xfId="6" applyNumberFormat="1" applyFont="1" applyFill="1" applyBorder="1" applyAlignment="1">
      <alignment horizontal="right" vertical="center"/>
    </xf>
    <xf numFmtId="0" fontId="20" fillId="0" borderId="30" xfId="6" applyFont="1" applyFill="1" applyBorder="1" applyAlignment="1">
      <alignment vertical="center" wrapText="1"/>
    </xf>
    <xf numFmtId="0" fontId="20" fillId="0" borderId="30" xfId="6" applyFont="1" applyFill="1" applyBorder="1" applyAlignment="1">
      <alignment horizontal="right" vertical="center"/>
    </xf>
    <xf numFmtId="164" fontId="20" fillId="0" borderId="30" xfId="2" applyNumberFormat="1" applyFont="1" applyFill="1" applyBorder="1" applyAlignment="1">
      <alignment horizontal="right" vertical="center"/>
    </xf>
    <xf numFmtId="0" fontId="20" fillId="0" borderId="27" xfId="6" applyFont="1" applyFill="1" applyBorder="1" applyAlignment="1">
      <alignment vertical="center" wrapText="1"/>
    </xf>
    <xf numFmtId="164" fontId="20" fillId="0" borderId="27" xfId="2" applyNumberFormat="1" applyFont="1" applyFill="1" applyBorder="1" applyAlignment="1">
      <alignment horizontal="right" vertical="center"/>
    </xf>
    <xf numFmtId="0" fontId="27" fillId="0" borderId="27" xfId="6" applyFont="1" applyFill="1" applyBorder="1" applyAlignment="1">
      <alignment horizontal="center" vertical="center"/>
    </xf>
    <xf numFmtId="0" fontId="27" fillId="0" borderId="27" xfId="6" applyFont="1" applyFill="1" applyBorder="1" applyAlignment="1">
      <alignment vertical="center" wrapText="1"/>
    </xf>
    <xf numFmtId="37" fontId="27" fillId="0" borderId="27" xfId="6" applyNumberFormat="1" applyFont="1" applyFill="1" applyBorder="1" applyAlignment="1">
      <alignment horizontal="right" vertical="center"/>
    </xf>
    <xf numFmtId="0" fontId="27" fillId="0" borderId="27" xfId="6" applyFont="1" applyFill="1" applyBorder="1" applyAlignment="1">
      <alignment horizontal="right" vertical="center"/>
    </xf>
    <xf numFmtId="3" fontId="27" fillId="0" borderId="27" xfId="6" applyNumberFormat="1" applyFont="1" applyFill="1" applyBorder="1" applyAlignment="1">
      <alignment horizontal="right" vertical="center"/>
    </xf>
    <xf numFmtId="164" fontId="27" fillId="0" borderId="27" xfId="2" applyNumberFormat="1" applyFont="1" applyFill="1" applyBorder="1" applyAlignment="1">
      <alignment horizontal="right" vertical="center"/>
    </xf>
    <xf numFmtId="4" fontId="27" fillId="0" borderId="27" xfId="6" applyNumberFormat="1" applyFont="1" applyFill="1" applyBorder="1" applyAlignment="1">
      <alignment horizontal="right" vertical="center"/>
    </xf>
    <xf numFmtId="4" fontId="27" fillId="0" borderId="27" xfId="6" applyNumberFormat="1" applyFont="1" applyFill="1" applyBorder="1" applyAlignment="1">
      <alignment vertical="center"/>
    </xf>
    <xf numFmtId="0" fontId="27" fillId="0" borderId="29" xfId="6" applyFont="1" applyFill="1" applyBorder="1" applyAlignment="1">
      <alignment horizontal="center" vertical="center"/>
    </xf>
    <xf numFmtId="0" fontId="27" fillId="0" borderId="29" xfId="6" applyFont="1" applyFill="1" applyBorder="1" applyAlignment="1">
      <alignment vertical="center" wrapText="1"/>
    </xf>
    <xf numFmtId="37" fontId="27" fillId="0" borderId="29" xfId="6" applyNumberFormat="1" applyFont="1" applyFill="1" applyBorder="1" applyAlignment="1">
      <alignment horizontal="right" vertical="center"/>
    </xf>
    <xf numFmtId="0" fontId="27" fillId="0" borderId="29" xfId="6" applyFont="1" applyFill="1" applyBorder="1" applyAlignment="1">
      <alignment horizontal="right" vertical="center"/>
    </xf>
    <xf numFmtId="3" fontId="27" fillId="0" borderId="29" xfId="6" applyNumberFormat="1" applyFont="1" applyFill="1" applyBorder="1" applyAlignment="1">
      <alignment horizontal="right" vertical="center"/>
    </xf>
    <xf numFmtId="164" fontId="27" fillId="0" borderId="29" xfId="2" applyNumberFormat="1" applyFont="1" applyFill="1" applyBorder="1" applyAlignment="1">
      <alignment horizontal="right" vertical="center"/>
    </xf>
    <xf numFmtId="4" fontId="27" fillId="0" borderId="29" xfId="6" applyNumberFormat="1" applyFont="1" applyFill="1" applyBorder="1" applyAlignment="1">
      <alignment horizontal="right" vertical="center"/>
    </xf>
    <xf numFmtId="4" fontId="27" fillId="0" borderId="29" xfId="6" applyNumberFormat="1" applyFont="1" applyFill="1" applyBorder="1" applyAlignment="1">
      <alignment vertical="center"/>
    </xf>
    <xf numFmtId="0" fontId="20" fillId="0" borderId="27" xfId="6" applyFont="1" applyFill="1" applyBorder="1" applyAlignment="1">
      <alignment horizontal="right" vertical="center"/>
    </xf>
    <xf numFmtId="210" fontId="20" fillId="0" borderId="27" xfId="6" applyNumberFormat="1" applyFont="1" applyFill="1" applyBorder="1" applyAlignment="1">
      <alignment horizontal="right" vertical="center"/>
    </xf>
    <xf numFmtId="3" fontId="20" fillId="0" borderId="29" xfId="6" applyNumberFormat="1" applyFont="1" applyFill="1" applyBorder="1" applyAlignment="1">
      <alignment horizontal="right" vertical="center"/>
    </xf>
    <xf numFmtId="37" fontId="20" fillId="0" borderId="30" xfId="6" applyNumberFormat="1" applyFont="1" applyFill="1" applyBorder="1" applyAlignment="1">
      <alignment vertical="center"/>
    </xf>
    <xf numFmtId="3" fontId="20" fillId="0" borderId="30" xfId="6" applyNumberFormat="1" applyFont="1" applyFill="1" applyBorder="1" applyAlignment="1">
      <alignment vertical="center" wrapText="1"/>
    </xf>
    <xf numFmtId="3" fontId="20" fillId="0" borderId="27" xfId="6" applyNumberFormat="1" applyFont="1" applyFill="1" applyBorder="1" applyAlignment="1">
      <alignment vertical="center" wrapText="1"/>
    </xf>
    <xf numFmtId="3" fontId="20" fillId="0" borderId="29" xfId="6" applyNumberFormat="1" applyFont="1" applyFill="1" applyBorder="1" applyAlignment="1">
      <alignment vertical="center" wrapText="1"/>
    </xf>
    <xf numFmtId="0" fontId="20" fillId="0" borderId="29" xfId="6" applyFont="1" applyFill="1" applyBorder="1" applyAlignment="1">
      <alignment horizontal="left" vertical="center" wrapText="1"/>
    </xf>
    <xf numFmtId="0" fontId="20" fillId="0" borderId="29" xfId="6" applyFont="1" applyFill="1" applyBorder="1" applyAlignment="1">
      <alignment horizontal="right" vertical="center"/>
    </xf>
    <xf numFmtId="1" fontId="20" fillId="0" borderId="30" xfId="6" applyNumberFormat="1" applyFont="1" applyFill="1" applyBorder="1" applyAlignment="1">
      <alignment horizontal="right" vertical="center"/>
    </xf>
    <xf numFmtId="164" fontId="20" fillId="0" borderId="27" xfId="6" applyNumberFormat="1" applyFont="1" applyFill="1" applyBorder="1" applyAlignment="1">
      <alignment horizontal="right" vertical="center"/>
    </xf>
    <xf numFmtId="211" fontId="20" fillId="0" borderId="27" xfId="6" applyNumberFormat="1" applyFont="1" applyFill="1" applyBorder="1" applyAlignment="1">
      <alignment horizontal="right" vertical="center"/>
    </xf>
    <xf numFmtId="164" fontId="20" fillId="0" borderId="27" xfId="2" applyNumberFormat="1" applyFont="1" applyFill="1" applyBorder="1" applyAlignment="1">
      <alignment horizontal="right" vertical="center" wrapText="1"/>
    </xf>
    <xf numFmtId="43" fontId="20" fillId="0" borderId="27" xfId="2" applyFont="1" applyFill="1" applyBorder="1" applyAlignment="1">
      <alignment vertical="center" wrapText="1"/>
    </xf>
    <xf numFmtId="43" fontId="20" fillId="0" borderId="27" xfId="2" applyFont="1" applyFill="1" applyBorder="1" applyAlignment="1">
      <alignment horizontal="right" vertical="center"/>
    </xf>
    <xf numFmtId="1" fontId="20" fillId="0" borderId="27" xfId="6" applyNumberFormat="1" applyFont="1" applyFill="1" applyBorder="1" applyAlignment="1">
      <alignment horizontal="right" vertical="center"/>
    </xf>
    <xf numFmtId="0" fontId="20" fillId="0" borderId="29" xfId="6" applyFont="1" applyFill="1" applyBorder="1" applyAlignment="1">
      <alignment vertical="center" wrapText="1"/>
    </xf>
    <xf numFmtId="164" fontId="20" fillId="0" borderId="29" xfId="2" applyNumberFormat="1" applyFont="1" applyFill="1" applyBorder="1" applyAlignment="1">
      <alignment horizontal="right" vertical="center"/>
    </xf>
    <xf numFmtId="168" fontId="20" fillId="0" borderId="27" xfId="2" applyNumberFormat="1" applyFont="1" applyFill="1" applyBorder="1" applyAlignment="1">
      <alignment horizontal="right" vertical="center"/>
    </xf>
    <xf numFmtId="168" fontId="20" fillId="0" borderId="29" xfId="2" applyNumberFormat="1" applyFont="1" applyFill="1" applyBorder="1" applyAlignment="1">
      <alignment horizontal="right" vertical="center"/>
    </xf>
    <xf numFmtId="3" fontId="20" fillId="0" borderId="27" xfId="6" quotePrefix="1" applyNumberFormat="1" applyFont="1" applyFill="1" applyBorder="1" applyAlignment="1">
      <alignment horizontal="right" vertical="center"/>
    </xf>
    <xf numFmtId="0" fontId="1" fillId="0" borderId="0" xfId="328" applyAlignment="1">
      <alignment vertical="center"/>
    </xf>
    <xf numFmtId="0" fontId="47" fillId="0" borderId="0" xfId="328" applyFont="1" applyAlignment="1">
      <alignment horizontal="right" vertical="center"/>
    </xf>
    <xf numFmtId="0" fontId="34" fillId="0" borderId="0" xfId="328" applyFont="1" applyAlignment="1">
      <alignment horizontal="left" vertical="center"/>
    </xf>
    <xf numFmtId="0" fontId="126" fillId="0" borderId="0" xfId="328" applyFont="1" applyAlignment="1">
      <alignment vertical="center"/>
    </xf>
    <xf numFmtId="0" fontId="34" fillId="0" borderId="43" xfId="328" applyFont="1" applyBorder="1" applyAlignment="1">
      <alignment horizontal="center" vertical="center" wrapText="1"/>
    </xf>
    <xf numFmtId="0" fontId="46" fillId="0" borderId="43" xfId="328" applyFont="1" applyBorder="1" applyAlignment="1">
      <alignment horizontal="center" vertical="center" wrapText="1"/>
    </xf>
    <xf numFmtId="3" fontId="34" fillId="0" borderId="43" xfId="328" applyNumberFormat="1" applyFont="1" applyBorder="1" applyAlignment="1">
      <alignment horizontal="right" vertical="center" wrapText="1"/>
    </xf>
    <xf numFmtId="9" fontId="34" fillId="0" borderId="43" xfId="328" applyNumberFormat="1" applyFont="1" applyBorder="1" applyAlignment="1">
      <alignment horizontal="center" vertical="center" wrapText="1"/>
    </xf>
    <xf numFmtId="3" fontId="1" fillId="0" borderId="0" xfId="328" applyNumberFormat="1" applyAlignment="1">
      <alignment vertical="center"/>
    </xf>
    <xf numFmtId="0" fontId="34" fillId="0" borderId="43" xfId="328" applyFont="1" applyBorder="1" applyAlignment="1">
      <alignment vertical="center" wrapText="1"/>
    </xf>
    <xf numFmtId="0" fontId="46" fillId="0" borderId="30" xfId="328" applyFont="1" applyBorder="1" applyAlignment="1">
      <alignment horizontal="center" vertical="center" wrapText="1"/>
    </xf>
    <xf numFmtId="0" fontId="46" fillId="0" borderId="30" xfId="328" applyFont="1" applyBorder="1" applyAlignment="1">
      <alignment vertical="center"/>
    </xf>
    <xf numFmtId="3" fontId="46" fillId="0" borderId="30" xfId="328" applyNumberFormat="1" applyFont="1" applyBorder="1" applyAlignment="1">
      <alignment horizontal="right" vertical="center"/>
    </xf>
    <xf numFmtId="3" fontId="46" fillId="0" borderId="30" xfId="328" applyNumberFormat="1" applyFont="1" applyBorder="1" applyAlignment="1">
      <alignment horizontal="right" vertical="center" wrapText="1"/>
    </xf>
    <xf numFmtId="9" fontId="46" fillId="0" borderId="30" xfId="328" applyNumberFormat="1" applyFont="1" applyBorder="1" applyAlignment="1">
      <alignment horizontal="center" vertical="center" wrapText="1"/>
    </xf>
    <xf numFmtId="0" fontId="46" fillId="0" borderId="27" xfId="328" applyFont="1" applyBorder="1" applyAlignment="1">
      <alignment horizontal="center" vertical="center" wrapText="1"/>
    </xf>
    <xf numFmtId="0" fontId="46" fillId="0" borderId="27" xfId="328" applyFont="1" applyBorder="1" applyAlignment="1">
      <alignment vertical="center"/>
    </xf>
    <xf numFmtId="3" fontId="46" fillId="0" borderId="27" xfId="328" applyNumberFormat="1" applyFont="1" applyBorder="1" applyAlignment="1">
      <alignment horizontal="right" vertical="center" wrapText="1"/>
    </xf>
    <xf numFmtId="9" fontId="46" fillId="0" borderId="27" xfId="328" applyNumberFormat="1" applyFont="1" applyBorder="1" applyAlignment="1">
      <alignment horizontal="center" vertical="center" wrapText="1"/>
    </xf>
    <xf numFmtId="0" fontId="46" fillId="0" borderId="27" xfId="328" applyFont="1" applyBorder="1" applyAlignment="1">
      <alignment horizontal="right" vertical="center" wrapText="1"/>
    </xf>
    <xf numFmtId="0" fontId="46" fillId="0" borderId="27" xfId="328" applyFont="1" applyBorder="1" applyAlignment="1">
      <alignment vertical="center" wrapText="1"/>
    </xf>
    <xf numFmtId="3" fontId="46" fillId="0" borderId="27" xfId="328" applyNumberFormat="1" applyFont="1" applyBorder="1" applyAlignment="1">
      <alignment horizontal="right" vertical="center"/>
    </xf>
    <xf numFmtId="0" fontId="46" fillId="0" borderId="29" xfId="328" applyFont="1" applyBorder="1" applyAlignment="1">
      <alignment horizontal="center" vertical="center" wrapText="1"/>
    </xf>
    <xf numFmtId="0" fontId="46" fillId="0" borderId="29" xfId="328" applyFont="1" applyBorder="1" applyAlignment="1">
      <alignment vertical="center" wrapText="1"/>
    </xf>
    <xf numFmtId="3" fontId="46" fillId="0" borderId="29" xfId="328" applyNumberFormat="1" applyFont="1" applyBorder="1" applyAlignment="1">
      <alignment horizontal="right" vertical="center"/>
    </xf>
    <xf numFmtId="3" fontId="46" fillId="0" borderId="29" xfId="328" applyNumberFormat="1" applyFont="1" applyBorder="1" applyAlignment="1">
      <alignment horizontal="right" vertical="center" wrapText="1"/>
    </xf>
    <xf numFmtId="9" fontId="46" fillId="0" borderId="29" xfId="328" applyNumberFormat="1" applyFont="1" applyBorder="1" applyAlignment="1">
      <alignment horizontal="center" vertical="center" wrapText="1"/>
    </xf>
    <xf numFmtId="0" fontId="46" fillId="0" borderId="30" xfId="328" applyFont="1" applyBorder="1" applyAlignment="1">
      <alignment vertical="center" wrapText="1"/>
    </xf>
    <xf numFmtId="0" fontId="46" fillId="0" borderId="30" xfId="328" applyFont="1" applyBorder="1" applyAlignment="1">
      <alignment horizontal="right" vertical="center" wrapText="1"/>
    </xf>
    <xf numFmtId="0" fontId="34" fillId="0" borderId="29" xfId="328" applyFont="1" applyBorder="1" applyAlignment="1">
      <alignment horizontal="right" vertical="center" wrapText="1"/>
    </xf>
    <xf numFmtId="0" fontId="12" fillId="0" borderId="0" xfId="328" applyFont="1" applyAlignment="1">
      <alignment vertical="center"/>
    </xf>
    <xf numFmtId="0" fontId="11" fillId="0" borderId="0" xfId="328" applyFont="1" applyAlignment="1">
      <alignment vertical="center"/>
    </xf>
    <xf numFmtId="0" fontId="11" fillId="0" borderId="43" xfId="328" applyFont="1" applyBorder="1" applyAlignment="1">
      <alignment horizontal="center" vertical="center" wrapText="1"/>
    </xf>
    <xf numFmtId="0" fontId="14" fillId="0" borderId="43" xfId="328" applyFont="1" applyBorder="1" applyAlignment="1">
      <alignment horizontal="center" vertical="center" wrapText="1"/>
    </xf>
    <xf numFmtId="0" fontId="12" fillId="0" borderId="30" xfId="328" applyFont="1" applyBorder="1" applyAlignment="1">
      <alignment horizontal="center" vertical="center" wrapText="1"/>
    </xf>
    <xf numFmtId="0" fontId="12" fillId="0" borderId="30" xfId="328" applyFont="1" applyBorder="1" applyAlignment="1">
      <alignment vertical="center" wrapText="1"/>
    </xf>
    <xf numFmtId="164" fontId="12" fillId="0" borderId="30" xfId="329" applyNumberFormat="1" applyFont="1" applyBorder="1" applyAlignment="1">
      <alignment horizontal="center" vertical="center" wrapText="1"/>
    </xf>
    <xf numFmtId="9" fontId="12" fillId="0" borderId="30" xfId="330" applyFont="1" applyBorder="1" applyAlignment="1">
      <alignment horizontal="center" vertical="center" wrapText="1"/>
    </xf>
    <xf numFmtId="164" fontId="12" fillId="0" borderId="0" xfId="329" applyNumberFormat="1" applyFont="1" applyAlignment="1">
      <alignment vertical="center"/>
    </xf>
    <xf numFmtId="3" fontId="12" fillId="0" borderId="0" xfId="328" applyNumberFormat="1" applyFont="1" applyAlignment="1">
      <alignment vertical="center"/>
    </xf>
    <xf numFmtId="0" fontId="12" fillId="0" borderId="27" xfId="328" applyFont="1" applyBorder="1" applyAlignment="1">
      <alignment horizontal="center" vertical="center" wrapText="1"/>
    </xf>
    <xf numFmtId="0" fontId="12" fillId="0" borderId="27" xfId="328" applyFont="1" applyBorder="1" applyAlignment="1">
      <alignment vertical="center" wrapText="1"/>
    </xf>
    <xf numFmtId="164" fontId="12" fillId="0" borderId="27" xfId="329" applyNumberFormat="1" applyFont="1" applyBorder="1" applyAlignment="1">
      <alignment horizontal="center" vertical="center" wrapText="1"/>
    </xf>
    <xf numFmtId="9" fontId="12" fillId="0" borderId="27" xfId="330" applyFont="1" applyBorder="1" applyAlignment="1">
      <alignment horizontal="center" vertical="center" wrapText="1"/>
    </xf>
    <xf numFmtId="0" fontId="12" fillId="0" borderId="0" xfId="328" applyFont="1" applyBorder="1" applyAlignment="1">
      <alignment vertical="center"/>
    </xf>
    <xf numFmtId="3" fontId="12" fillId="0" borderId="0" xfId="328" applyNumberFormat="1" applyFont="1" applyBorder="1" applyAlignment="1">
      <alignment vertical="center"/>
    </xf>
    <xf numFmtId="164" fontId="12" fillId="0" borderId="0" xfId="328" applyNumberFormat="1" applyFont="1" applyAlignment="1">
      <alignment vertical="center"/>
    </xf>
    <xf numFmtId="0" fontId="12" fillId="0" borderId="29" xfId="328" applyFont="1" applyBorder="1" applyAlignment="1">
      <alignment horizontal="center" vertical="center" wrapText="1"/>
    </xf>
    <xf numFmtId="0" fontId="12" fillId="0" borderId="29" xfId="328" applyFont="1" applyBorder="1" applyAlignment="1">
      <alignment vertical="center"/>
    </xf>
    <xf numFmtId="164" fontId="12" fillId="0" borderId="29" xfId="329" applyNumberFormat="1" applyFont="1" applyBorder="1" applyAlignment="1">
      <alignment horizontal="center" vertical="center" wrapText="1"/>
    </xf>
    <xf numFmtId="9" fontId="12" fillId="0" borderId="29" xfId="330" applyFont="1" applyBorder="1" applyAlignment="1">
      <alignment horizontal="center" vertical="center" wrapText="1"/>
    </xf>
    <xf numFmtId="164" fontId="11" fillId="0" borderId="43" xfId="329" applyNumberFormat="1" applyFont="1" applyBorder="1" applyAlignment="1">
      <alignment horizontal="center" vertical="center" wrapText="1"/>
    </xf>
    <xf numFmtId="9" fontId="11" fillId="0" borderId="43" xfId="330" applyFont="1" applyBorder="1" applyAlignment="1">
      <alignment horizontal="center" vertical="center" wrapText="1"/>
    </xf>
    <xf numFmtId="0" fontId="11" fillId="0" borderId="43" xfId="328" applyFont="1" applyBorder="1" applyAlignment="1">
      <alignment vertical="center"/>
    </xf>
    <xf numFmtId="3" fontId="11" fillId="0" borderId="0" xfId="328" applyNumberFormat="1" applyFont="1" applyAlignment="1">
      <alignment vertical="center"/>
    </xf>
    <xf numFmtId="164" fontId="35" fillId="0" borderId="0" xfId="2" applyNumberFormat="1" applyFont="1" applyFill="1" applyAlignment="1">
      <alignment vertical="center" wrapText="1"/>
    </xf>
    <xf numFmtId="164" fontId="119" fillId="0" borderId="0" xfId="2" applyNumberFormat="1" applyFont="1" applyFill="1" applyAlignment="1">
      <alignment vertical="center" wrapText="1"/>
    </xf>
    <xf numFmtId="3" fontId="32" fillId="0" borderId="0" xfId="6" applyNumberFormat="1" applyFont="1" applyAlignment="1">
      <alignment vertical="center"/>
    </xf>
    <xf numFmtId="0" fontId="120" fillId="0" borderId="0" xfId="6" applyFont="1" applyFill="1" applyAlignment="1">
      <alignment horizontal="center" vertical="center"/>
    </xf>
    <xf numFmtId="164" fontId="35" fillId="0" borderId="0" xfId="2" applyNumberFormat="1" applyFont="1" applyFill="1" applyBorder="1" applyAlignment="1">
      <alignment horizontal="right" vertical="center"/>
    </xf>
    <xf numFmtId="0" fontId="119" fillId="0" borderId="0" xfId="6" applyFont="1" applyFill="1" applyBorder="1" applyAlignment="1">
      <alignment horizontal="left" vertical="center"/>
    </xf>
    <xf numFmtId="0" fontId="119" fillId="0" borderId="0" xfId="6" applyFont="1" applyFill="1" applyAlignment="1">
      <alignment horizontal="center" vertical="center"/>
    </xf>
    <xf numFmtId="164" fontId="119" fillId="0" borderId="0" xfId="2" applyNumberFormat="1" applyFont="1" applyFill="1" applyBorder="1" applyAlignment="1">
      <alignment horizontal="center" vertical="center"/>
    </xf>
    <xf numFmtId="0" fontId="26" fillId="0" borderId="21" xfId="0" applyFont="1" applyBorder="1" applyAlignment="1">
      <alignment horizontal="left" vertical="center" wrapText="1"/>
    </xf>
    <xf numFmtId="0" fontId="26" fillId="0" borderId="20" xfId="0" applyFont="1" applyBorder="1" applyAlignment="1">
      <alignment horizontal="left" vertical="center" wrapText="1"/>
    </xf>
    <xf numFmtId="0" fontId="12" fillId="0" borderId="0" xfId="0" applyFont="1" applyAlignment="1">
      <alignment horizontal="center" vertical="center" wrapText="1"/>
    </xf>
    <xf numFmtId="0" fontId="11" fillId="0" borderId="0" xfId="8"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26" fillId="0" borderId="24" xfId="0" applyFont="1" applyBorder="1" applyAlignment="1">
      <alignment horizontal="center" vertical="center"/>
    </xf>
    <xf numFmtId="0" fontId="26" fillId="0" borderId="25" xfId="0" applyFont="1" applyBorder="1" applyAlignment="1">
      <alignment horizontal="center" vertical="center"/>
    </xf>
    <xf numFmtId="0" fontId="26" fillId="0" borderId="11" xfId="0" applyFont="1" applyBorder="1" applyAlignment="1">
      <alignment horizontal="center" vertical="center"/>
    </xf>
    <xf numFmtId="0" fontId="26" fillId="0" borderId="13" xfId="0" applyFont="1" applyBorder="1" applyAlignment="1">
      <alignment horizontal="center" vertical="center"/>
    </xf>
    <xf numFmtId="0" fontId="26" fillId="0" borderId="21" xfId="0" applyFont="1" applyBorder="1" applyAlignment="1">
      <alignment horizontal="center" vertical="center"/>
    </xf>
    <xf numFmtId="0" fontId="26" fillId="0" borderId="20" xfId="0" applyFont="1" applyBorder="1" applyAlignment="1">
      <alignment horizontal="center" vertical="center"/>
    </xf>
    <xf numFmtId="0" fontId="12" fillId="0" borderId="12" xfId="6" applyFont="1" applyFill="1" applyBorder="1" applyAlignment="1">
      <alignment horizontal="right" vertical="center"/>
    </xf>
    <xf numFmtId="0" fontId="11" fillId="0" borderId="7" xfId="6" applyFont="1" applyFill="1" applyBorder="1" applyAlignment="1">
      <alignment horizontal="center" vertical="center"/>
    </xf>
    <xf numFmtId="0" fontId="11" fillId="0" borderId="18" xfId="6" applyFont="1" applyFill="1" applyBorder="1" applyAlignment="1">
      <alignment horizontal="center" vertical="center"/>
    </xf>
    <xf numFmtId="0" fontId="11" fillId="0" borderId="15" xfId="6" applyFont="1" applyFill="1" applyBorder="1" applyAlignment="1">
      <alignment horizontal="center" vertical="center"/>
    </xf>
    <xf numFmtId="0" fontId="18" fillId="0" borderId="0" xfId="6" applyFont="1" applyFill="1" applyAlignment="1">
      <alignment horizontal="left" vertical="center"/>
    </xf>
    <xf numFmtId="0" fontId="11" fillId="0" borderId="0" xfId="6" applyFont="1" applyFill="1" applyAlignment="1">
      <alignment horizontal="center" vertical="center"/>
    </xf>
    <xf numFmtId="0" fontId="20" fillId="0" borderId="0" xfId="6" applyFont="1" applyFill="1" applyAlignment="1">
      <alignment horizontal="center" vertical="center"/>
    </xf>
    <xf numFmtId="0" fontId="11" fillId="0" borderId="21" xfId="6" applyFont="1" applyFill="1" applyBorder="1" applyAlignment="1">
      <alignment horizontal="center" vertical="center"/>
    </xf>
    <xf numFmtId="0" fontId="11" fillId="0" borderId="2" xfId="6" applyFont="1" applyFill="1" applyBorder="1" applyAlignment="1">
      <alignment horizontal="center" vertical="center"/>
    </xf>
    <xf numFmtId="0" fontId="11" fillId="0" borderId="20" xfId="6" applyFont="1" applyFill="1" applyBorder="1" applyAlignment="1">
      <alignment horizontal="center" vertical="center"/>
    </xf>
    <xf numFmtId="0" fontId="18" fillId="0" borderId="0" xfId="8" applyFont="1" applyAlignment="1">
      <alignment horizontal="center" vertical="center"/>
    </xf>
    <xf numFmtId="0" fontId="12" fillId="0" borderId="0" xfId="6" applyFont="1" applyFill="1" applyAlignment="1">
      <alignment horizontal="center" vertical="center" wrapText="1"/>
    </xf>
    <xf numFmtId="0" fontId="12" fillId="0" borderId="0" xfId="0" applyFont="1" applyFill="1" applyAlignment="1">
      <alignment horizontal="center" vertical="center" wrapText="1"/>
    </xf>
    <xf numFmtId="0" fontId="11" fillId="0" borderId="0" xfId="8" applyFont="1" applyFill="1" applyAlignment="1">
      <alignment horizontal="center" vertical="center"/>
    </xf>
    <xf numFmtId="0" fontId="11" fillId="0" borderId="0" xfId="0" applyFont="1" applyFill="1" applyAlignment="1">
      <alignment horizontal="center" vertical="center"/>
    </xf>
    <xf numFmtId="0" fontId="20" fillId="0" borderId="0" xfId="0" applyFont="1" applyFill="1" applyAlignment="1">
      <alignment horizontal="center" vertical="center"/>
    </xf>
    <xf numFmtId="0" fontId="12" fillId="0" borderId="12"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15"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21" xfId="0" applyFont="1" applyFill="1" applyBorder="1" applyAlignment="1">
      <alignment horizontal="center" vertical="center" wrapText="1"/>
    </xf>
    <xf numFmtId="0" fontId="119" fillId="0" borderId="0" xfId="6" applyFont="1" applyFill="1" applyAlignment="1">
      <alignment horizontal="left" vertical="center" wrapText="1"/>
    </xf>
    <xf numFmtId="49" fontId="11" fillId="0" borderId="33" xfId="6" applyNumberFormat="1" applyFont="1" applyFill="1" applyBorder="1" applyAlignment="1">
      <alignment horizontal="center" vertical="center"/>
    </xf>
    <xf numFmtId="49" fontId="11" fillId="0" borderId="34" xfId="6" applyNumberFormat="1" applyFont="1" applyFill="1" applyBorder="1" applyAlignment="1">
      <alignment horizontal="center" vertical="center"/>
    </xf>
    <xf numFmtId="0" fontId="12" fillId="0" borderId="21" xfId="6" applyFont="1" applyFill="1" applyBorder="1" applyAlignment="1">
      <alignment horizontal="center" vertical="center"/>
    </xf>
    <xf numFmtId="0" fontId="12" fillId="0" borderId="2" xfId="6" applyFont="1" applyFill="1" applyBorder="1" applyAlignment="1">
      <alignment horizontal="center" vertical="center"/>
    </xf>
    <xf numFmtId="0" fontId="12" fillId="0" borderId="20" xfId="6" applyFont="1" applyFill="1" applyBorder="1" applyAlignment="1">
      <alignment horizontal="center" vertical="center"/>
    </xf>
    <xf numFmtId="0" fontId="19" fillId="0" borderId="14" xfId="0" applyFont="1" applyFill="1" applyBorder="1" applyAlignment="1">
      <alignment horizontal="center" vertical="center"/>
    </xf>
    <xf numFmtId="0" fontId="27" fillId="0" borderId="0" xfId="0" applyFont="1" applyFill="1" applyAlignment="1">
      <alignment horizontal="center" vertical="center"/>
    </xf>
    <xf numFmtId="0" fontId="12" fillId="0" borderId="12" xfId="0" applyFont="1" applyFill="1" applyBorder="1" applyAlignment="1">
      <alignment horizontal="right" vertical="center"/>
    </xf>
    <xf numFmtId="0" fontId="11" fillId="0" borderId="0" xfId="0" applyFont="1" applyAlignment="1">
      <alignment horizontal="left" vertical="center"/>
    </xf>
    <xf numFmtId="0" fontId="18" fillId="0" borderId="14" xfId="0" applyFont="1" applyBorder="1" applyAlignment="1">
      <alignment horizontal="center" vertical="center"/>
    </xf>
    <xf numFmtId="0" fontId="18" fillId="0" borderId="7" xfId="0" applyFont="1" applyBorder="1" applyAlignment="1">
      <alignment horizontal="center" vertical="center"/>
    </xf>
    <xf numFmtId="0" fontId="18" fillId="0" borderId="15" xfId="0" applyFont="1" applyBorder="1" applyAlignment="1">
      <alignment horizontal="center" vertical="center"/>
    </xf>
    <xf numFmtId="0" fontId="20" fillId="0" borderId="12" xfId="0" applyFont="1" applyBorder="1" applyAlignment="1">
      <alignment horizontal="right" vertical="center"/>
    </xf>
    <xf numFmtId="0" fontId="20" fillId="0" borderId="0" xfId="6" applyFont="1" applyAlignment="1">
      <alignment horizontal="center" vertical="center"/>
    </xf>
    <xf numFmtId="0" fontId="18" fillId="0" borderId="0" xfId="0" applyFont="1" applyAlignment="1">
      <alignment horizontal="center" vertical="center"/>
    </xf>
    <xf numFmtId="0" fontId="18" fillId="0" borderId="0" xfId="6" applyFont="1" applyAlignment="1">
      <alignment horizontal="center" vertical="center"/>
    </xf>
    <xf numFmtId="0" fontId="20" fillId="0" borderId="0" xfId="0" applyFont="1" applyAlignment="1">
      <alignment horizontal="center" vertical="center" wrapText="1"/>
    </xf>
    <xf numFmtId="0" fontId="36" fillId="0" borderId="0" xfId="6" applyFont="1" applyAlignment="1">
      <alignment horizontal="center" vertical="center"/>
    </xf>
    <xf numFmtId="0" fontId="46" fillId="0" borderId="0" xfId="6" applyFont="1" applyAlignment="1">
      <alignment horizontal="center" vertical="center" wrapText="1"/>
    </xf>
    <xf numFmtId="0" fontId="36" fillId="0" borderId="14" xfId="0" applyFont="1" applyBorder="1" applyAlignment="1">
      <alignment horizontal="center" vertical="center"/>
    </xf>
    <xf numFmtId="0" fontId="32" fillId="0" borderId="0" xfId="6" applyFont="1" applyAlignment="1">
      <alignment horizontal="center" vertical="center"/>
    </xf>
    <xf numFmtId="0" fontId="32" fillId="0" borderId="0" xfId="6" quotePrefix="1" applyFont="1" applyAlignment="1">
      <alignment horizontal="center" vertical="center"/>
    </xf>
    <xf numFmtId="0" fontId="36" fillId="0" borderId="7" xfId="6" applyFont="1" applyBorder="1" applyAlignment="1">
      <alignment horizontal="center" vertical="center"/>
    </xf>
    <xf numFmtId="0" fontId="36" fillId="0" borderId="18" xfId="6" applyFont="1" applyBorder="1" applyAlignment="1">
      <alignment horizontal="center" vertical="center"/>
    </xf>
    <xf numFmtId="0" fontId="36" fillId="0" borderId="15" xfId="6" applyFont="1" applyBorder="1" applyAlignment="1">
      <alignment horizontal="center" vertical="center"/>
    </xf>
    <xf numFmtId="0" fontId="36" fillId="0" borderId="24" xfId="6" applyFont="1" applyBorder="1" applyAlignment="1">
      <alignment horizontal="center" vertical="center"/>
    </xf>
    <xf numFmtId="0" fontId="36" fillId="0" borderId="19" xfId="6" applyFont="1" applyBorder="1" applyAlignment="1">
      <alignment horizontal="center" vertical="center"/>
    </xf>
    <xf numFmtId="0" fontId="36" fillId="0" borderId="25" xfId="6" applyFont="1" applyBorder="1" applyAlignment="1">
      <alignment horizontal="center" vertical="center"/>
    </xf>
    <xf numFmtId="0" fontId="36" fillId="0" borderId="14" xfId="6" applyFont="1" applyBorder="1" applyAlignment="1">
      <alignment horizontal="center" vertical="center"/>
    </xf>
    <xf numFmtId="0" fontId="12" fillId="0" borderId="0" xfId="6" applyFont="1" applyAlignment="1">
      <alignment horizontal="center" vertical="center" wrapText="1"/>
    </xf>
    <xf numFmtId="0" fontId="27" fillId="0" borderId="0" xfId="6" applyFont="1" applyBorder="1" applyAlignment="1">
      <alignment horizontal="right" vertical="center"/>
    </xf>
    <xf numFmtId="0" fontId="20" fillId="0" borderId="0" xfId="0" applyFont="1" applyAlignment="1">
      <alignment horizontal="center" vertical="center"/>
    </xf>
    <xf numFmtId="0" fontId="20" fillId="0" borderId="0" xfId="0" applyFont="1" applyBorder="1" applyAlignment="1">
      <alignment horizontal="right" vertical="center"/>
    </xf>
    <xf numFmtId="0" fontId="18" fillId="0" borderId="7"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21" xfId="0" applyFont="1" applyBorder="1" applyAlignment="1">
      <alignment horizontal="center" vertical="center"/>
    </xf>
    <xf numFmtId="0" fontId="18" fillId="0" borderId="20" xfId="0" applyFont="1" applyBorder="1" applyAlignment="1">
      <alignment horizontal="center" vertical="center"/>
    </xf>
    <xf numFmtId="0" fontId="12" fillId="0" borderId="0" xfId="0" applyFont="1" applyAlignment="1">
      <alignment horizontal="center" vertical="center" wrapText="1" shrinkToFit="1"/>
    </xf>
    <xf numFmtId="0" fontId="27" fillId="0" borderId="0" xfId="0" applyFont="1" applyBorder="1" applyAlignment="1">
      <alignment horizontal="right" vertical="center"/>
    </xf>
    <xf numFmtId="0" fontId="18" fillId="0" borderId="2" xfId="0" applyFont="1" applyBorder="1" applyAlignment="1">
      <alignment horizontal="center" vertical="center"/>
    </xf>
    <xf numFmtId="0" fontId="19" fillId="0" borderId="0" xfId="6" applyFont="1" applyAlignment="1">
      <alignment horizontal="center" vertical="center"/>
    </xf>
    <xf numFmtId="0" fontId="24" fillId="0" borderId="0" xfId="6" applyFont="1" applyAlignment="1">
      <alignment horizontal="center" vertical="center"/>
    </xf>
    <xf numFmtId="0" fontId="11" fillId="0" borderId="7" xfId="6" applyFont="1" applyBorder="1" applyAlignment="1">
      <alignment horizontal="center" vertical="center"/>
    </xf>
    <xf numFmtId="0" fontId="11" fillId="0" borderId="18" xfId="6" applyFont="1" applyBorder="1" applyAlignment="1">
      <alignment horizontal="center" vertical="center"/>
    </xf>
    <xf numFmtId="0" fontId="11" fillId="0" borderId="15" xfId="6" applyFont="1" applyBorder="1" applyAlignment="1">
      <alignment horizontal="center" vertical="center"/>
    </xf>
    <xf numFmtId="0" fontId="11" fillId="0" borderId="21" xfId="6" applyFont="1" applyFill="1" applyBorder="1" applyAlignment="1">
      <alignment horizontal="center" vertical="center" wrapText="1"/>
    </xf>
    <xf numFmtId="0" fontId="11" fillId="0" borderId="2" xfId="6" applyFont="1" applyFill="1" applyBorder="1" applyAlignment="1">
      <alignment horizontal="center" vertical="center" wrapText="1"/>
    </xf>
    <xf numFmtId="0" fontId="11" fillId="0" borderId="20" xfId="6" applyFont="1" applyFill="1" applyBorder="1" applyAlignment="1">
      <alignment horizontal="center" vertical="center" wrapText="1"/>
    </xf>
    <xf numFmtId="0" fontId="11" fillId="0" borderId="21" xfId="6" applyFont="1" applyBorder="1" applyAlignment="1">
      <alignment horizontal="center" vertical="center" wrapText="1"/>
    </xf>
    <xf numFmtId="0" fontId="11" fillId="0" borderId="2" xfId="6" applyFont="1" applyBorder="1" applyAlignment="1">
      <alignment horizontal="center" vertical="center" wrapText="1"/>
    </xf>
    <xf numFmtId="0" fontId="11" fillId="0" borderId="20" xfId="6" applyFont="1" applyBorder="1" applyAlignment="1">
      <alignment horizontal="center" vertical="center" wrapText="1"/>
    </xf>
    <xf numFmtId="0" fontId="11" fillId="0" borderId="2" xfId="6" applyFont="1" applyBorder="1" applyAlignment="1">
      <alignment horizontal="center" vertical="center"/>
    </xf>
    <xf numFmtId="0" fontId="11" fillId="0" borderId="20" xfId="6" applyFont="1" applyBorder="1" applyAlignment="1">
      <alignment horizontal="center" vertical="center"/>
    </xf>
    <xf numFmtId="0" fontId="11" fillId="0" borderId="7" xfId="6" applyFont="1" applyBorder="1" applyAlignment="1">
      <alignment horizontal="center" vertical="center" wrapText="1"/>
    </xf>
    <xf numFmtId="0" fontId="11" fillId="0" borderId="18" xfId="6" applyFont="1" applyBorder="1" applyAlignment="1">
      <alignment horizontal="center" vertical="center" wrapText="1"/>
    </xf>
    <xf numFmtId="0" fontId="11" fillId="0" borderId="15" xfId="6" applyFont="1" applyBorder="1" applyAlignment="1">
      <alignment horizontal="center" vertical="center" wrapText="1"/>
    </xf>
    <xf numFmtId="0" fontId="11" fillId="0" borderId="7" xfId="6" applyFont="1" applyFill="1" applyBorder="1" applyAlignment="1">
      <alignment horizontal="center" vertical="center" wrapText="1"/>
    </xf>
    <xf numFmtId="0" fontId="11" fillId="0" borderId="18" xfId="6" applyFont="1" applyFill="1" applyBorder="1" applyAlignment="1">
      <alignment horizontal="center" vertical="center" wrapText="1"/>
    </xf>
    <xf numFmtId="0" fontId="11" fillId="0" borderId="15" xfId="6" applyFont="1" applyFill="1" applyBorder="1" applyAlignment="1">
      <alignment horizontal="center" vertical="center" wrapText="1"/>
    </xf>
    <xf numFmtId="0" fontId="18" fillId="27" borderId="0" xfId="6" applyFont="1" applyFill="1" applyAlignment="1">
      <alignment horizontal="right" vertical="center"/>
    </xf>
    <xf numFmtId="0" fontId="18" fillId="0" borderId="0" xfId="6" applyFont="1" applyFill="1" applyAlignment="1">
      <alignment horizontal="center" vertical="center"/>
    </xf>
    <xf numFmtId="0" fontId="20" fillId="0" borderId="12" xfId="6" applyFont="1" applyFill="1" applyBorder="1" applyAlignment="1">
      <alignment horizontal="right" vertical="center"/>
    </xf>
    <xf numFmtId="0" fontId="18" fillId="0" borderId="7" xfId="6" applyFont="1" applyFill="1" applyBorder="1" applyAlignment="1">
      <alignment horizontal="center" vertical="center" wrapText="1"/>
    </xf>
    <xf numFmtId="0" fontId="18" fillId="0" borderId="18" xfId="6" applyFont="1" applyFill="1" applyBorder="1" applyAlignment="1">
      <alignment horizontal="center" vertical="center" wrapText="1"/>
    </xf>
    <xf numFmtId="0" fontId="18" fillId="0" borderId="18" xfId="6" applyFont="1" applyFill="1" applyBorder="1" applyAlignment="1">
      <alignment horizontal="center" vertical="center"/>
    </xf>
    <xf numFmtId="0" fontId="18" fillId="0" borderId="15" xfId="6" applyFont="1" applyFill="1" applyBorder="1" applyAlignment="1">
      <alignment horizontal="center" vertical="center"/>
    </xf>
    <xf numFmtId="0" fontId="18" fillId="0" borderId="7" xfId="6" applyFont="1" applyFill="1" applyBorder="1" applyAlignment="1">
      <alignment horizontal="center" vertical="center"/>
    </xf>
    <xf numFmtId="0" fontId="20" fillId="0" borderId="7" xfId="6" applyFont="1" applyFill="1" applyBorder="1" applyAlignment="1">
      <alignment horizontal="center" vertical="center" wrapText="1"/>
    </xf>
    <xf numFmtId="0" fontId="20" fillId="0" borderId="18" xfId="6" applyFont="1" applyFill="1" applyBorder="1" applyAlignment="1">
      <alignment horizontal="center" vertical="center" wrapText="1"/>
    </xf>
    <xf numFmtId="0" fontId="20" fillId="0" borderId="15" xfId="6" applyFont="1" applyFill="1" applyBorder="1" applyAlignment="1">
      <alignment horizontal="center" vertical="center" wrapText="1"/>
    </xf>
    <xf numFmtId="0" fontId="20" fillId="0" borderId="14" xfId="6" applyFont="1" applyFill="1" applyBorder="1" applyAlignment="1">
      <alignment horizontal="center" vertical="center" wrapText="1"/>
    </xf>
    <xf numFmtId="0" fontId="18" fillId="0" borderId="15" xfId="6" applyFont="1" applyFill="1" applyBorder="1" applyAlignment="1">
      <alignment horizontal="center" vertical="center" wrapText="1"/>
    </xf>
    <xf numFmtId="0" fontId="18" fillId="0" borderId="24" xfId="6" applyFont="1" applyFill="1" applyBorder="1" applyAlignment="1">
      <alignment horizontal="center" vertical="center" wrapText="1"/>
    </xf>
    <xf numFmtId="0" fontId="18" fillId="0" borderId="19" xfId="6" applyFont="1" applyFill="1" applyBorder="1" applyAlignment="1">
      <alignment horizontal="center" vertical="center" wrapText="1"/>
    </xf>
    <xf numFmtId="0" fontId="18" fillId="0" borderId="11" xfId="6" applyFont="1" applyFill="1" applyBorder="1" applyAlignment="1">
      <alignment horizontal="center" vertical="center" wrapText="1"/>
    </xf>
    <xf numFmtId="0" fontId="18" fillId="0" borderId="12" xfId="6" applyFont="1" applyFill="1" applyBorder="1" applyAlignment="1">
      <alignment horizontal="center" vertical="center" wrapText="1"/>
    </xf>
    <xf numFmtId="0" fontId="18" fillId="0" borderId="24" xfId="6" applyFont="1" applyFill="1" applyBorder="1" applyAlignment="1">
      <alignment horizontal="center" vertical="center"/>
    </xf>
    <xf numFmtId="0" fontId="18" fillId="0" borderId="19" xfId="6" applyFont="1" applyFill="1" applyBorder="1" applyAlignment="1">
      <alignment horizontal="center" vertical="center"/>
    </xf>
    <xf numFmtId="0" fontId="18" fillId="0" borderId="25" xfId="6" applyFont="1" applyFill="1" applyBorder="1" applyAlignment="1">
      <alignment horizontal="center" vertical="center"/>
    </xf>
    <xf numFmtId="0" fontId="18" fillId="0" borderId="11" xfId="6" applyFont="1" applyFill="1" applyBorder="1" applyAlignment="1">
      <alignment horizontal="center" vertical="center"/>
    </xf>
    <xf numFmtId="0" fontId="18" fillId="0" borderId="12" xfId="6" applyFont="1" applyFill="1" applyBorder="1" applyAlignment="1">
      <alignment horizontal="center" vertical="center"/>
    </xf>
    <xf numFmtId="0" fontId="18" fillId="0" borderId="13" xfId="6" applyFont="1" applyFill="1" applyBorder="1" applyAlignment="1">
      <alignment horizontal="center" vertical="center"/>
    </xf>
    <xf numFmtId="0" fontId="18" fillId="0" borderId="14" xfId="6" applyFont="1" applyFill="1" applyBorder="1" applyAlignment="1">
      <alignment horizontal="center" vertical="center" wrapText="1"/>
    </xf>
    <xf numFmtId="0" fontId="18" fillId="0" borderId="14" xfId="6" applyFont="1" applyFill="1" applyBorder="1" applyAlignment="1">
      <alignment horizontal="center" vertical="center"/>
    </xf>
    <xf numFmtId="0" fontId="18" fillId="0" borderId="16" xfId="6" applyFont="1" applyFill="1" applyBorder="1" applyAlignment="1">
      <alignment horizontal="center" vertical="center" wrapText="1"/>
    </xf>
    <xf numFmtId="0" fontId="18" fillId="0" borderId="21" xfId="6" applyFont="1" applyFill="1" applyBorder="1" applyAlignment="1">
      <alignment horizontal="center" vertical="center" wrapText="1"/>
    </xf>
    <xf numFmtId="0" fontId="18" fillId="0" borderId="2" xfId="6" applyFont="1" applyFill="1" applyBorder="1" applyAlignment="1">
      <alignment horizontal="center" vertical="center" wrapText="1"/>
    </xf>
    <xf numFmtId="0" fontId="18" fillId="0" borderId="18"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5" xfId="0" applyFont="1" applyBorder="1" applyAlignment="1">
      <alignment horizontal="center" vertical="center" wrapText="1"/>
    </xf>
    <xf numFmtId="0" fontId="20" fillId="0" borderId="0" xfId="12" applyNumberFormat="1" applyFont="1" applyFill="1" applyBorder="1" applyAlignment="1">
      <alignment horizontal="center" vertical="center" wrapText="1"/>
    </xf>
    <xf numFmtId="0" fontId="27" fillId="0" borderId="0" xfId="0" applyFont="1" applyBorder="1" applyAlignment="1">
      <alignment horizontal="center" vertical="center"/>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7" xfId="0" applyFont="1" applyBorder="1" applyAlignment="1">
      <alignment horizontal="center" vertical="center" wrapText="1"/>
    </xf>
    <xf numFmtId="0" fontId="11" fillId="0" borderId="0" xfId="0" applyFont="1" applyFill="1" applyAlignment="1">
      <alignment horizontal="left" vertical="center"/>
    </xf>
    <xf numFmtId="0" fontId="18" fillId="0" borderId="14" xfId="0" applyFont="1" applyFill="1" applyBorder="1" applyAlignment="1">
      <alignment horizontal="center" vertical="center"/>
    </xf>
    <xf numFmtId="0" fontId="18" fillId="0" borderId="7"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0" xfId="0" applyFont="1" applyFill="1" applyAlignment="1">
      <alignment horizontal="center" vertical="center"/>
    </xf>
    <xf numFmtId="0" fontId="12" fillId="0" borderId="0" xfId="0" applyFont="1" applyFill="1" applyAlignment="1">
      <alignment horizontal="center" vertical="center" wrapText="1" shrinkToFit="1"/>
    </xf>
    <xf numFmtId="0" fontId="19" fillId="0" borderId="14" xfId="0" applyFont="1" applyFill="1" applyBorder="1" applyAlignment="1">
      <alignment horizontal="center" vertical="center" wrapText="1"/>
    </xf>
    <xf numFmtId="164" fontId="27" fillId="0" borderId="0" xfId="0" applyNumberFormat="1" applyFont="1" applyFill="1" applyBorder="1" applyAlignment="1">
      <alignment horizontal="center" vertical="center"/>
    </xf>
    <xf numFmtId="0" fontId="27" fillId="0" borderId="0" xfId="0" applyFont="1" applyFill="1" applyBorder="1" applyAlignment="1">
      <alignment horizontal="center" vertical="center"/>
    </xf>
    <xf numFmtId="0" fontId="27" fillId="0" borderId="0" xfId="0" applyFont="1" applyFill="1" applyBorder="1" applyAlignment="1">
      <alignment horizontal="right" vertical="center"/>
    </xf>
    <xf numFmtId="0" fontId="18" fillId="0" borderId="20" xfId="6" applyFont="1" applyFill="1" applyBorder="1" applyAlignment="1">
      <alignment horizontal="center" vertical="center" wrapText="1"/>
    </xf>
    <xf numFmtId="0" fontId="18" fillId="0" borderId="0" xfId="6" applyFont="1" applyFill="1" applyAlignment="1">
      <alignment horizontal="center" vertical="center" wrapText="1"/>
    </xf>
    <xf numFmtId="0" fontId="27" fillId="0" borderId="12" xfId="6" applyFont="1" applyFill="1" applyBorder="1" applyAlignment="1">
      <alignment horizontal="right" vertical="center"/>
    </xf>
    <xf numFmtId="3" fontId="18" fillId="0" borderId="21" xfId="6" applyNumberFormat="1" applyFont="1" applyFill="1" applyBorder="1" applyAlignment="1">
      <alignment horizontal="center" vertical="center" wrapText="1"/>
    </xf>
    <xf numFmtId="3" fontId="18" fillId="0" borderId="2" xfId="6" applyNumberFormat="1" applyFont="1" applyFill="1" applyBorder="1" applyAlignment="1">
      <alignment horizontal="center" vertical="center" wrapText="1"/>
    </xf>
    <xf numFmtId="0" fontId="20" fillId="0" borderId="0" xfId="6" applyFont="1" applyFill="1" applyAlignment="1">
      <alignment horizontal="left" vertical="center"/>
    </xf>
    <xf numFmtId="0" fontId="34" fillId="0" borderId="0" xfId="328" applyFont="1" applyAlignment="1">
      <alignment horizontal="left" vertical="center"/>
    </xf>
    <xf numFmtId="0" fontId="119" fillId="0" borderId="0" xfId="328" applyFont="1" applyAlignment="1">
      <alignment horizontal="center" vertical="center"/>
    </xf>
    <xf numFmtId="0" fontId="120" fillId="0" borderId="0" xfId="328" applyFont="1" applyAlignment="1">
      <alignment horizontal="center" vertical="center"/>
    </xf>
    <xf numFmtId="0" fontId="126" fillId="0" borderId="12" xfId="328" applyFont="1" applyBorder="1" applyAlignment="1">
      <alignment horizontal="right" vertical="center"/>
    </xf>
    <xf numFmtId="0" fontId="11" fillId="0" borderId="43" xfId="328" applyFont="1" applyBorder="1" applyAlignment="1">
      <alignment horizontal="center" vertical="center" wrapText="1"/>
    </xf>
    <xf numFmtId="0" fontId="11" fillId="0" borderId="43" xfId="328" applyFont="1" applyBorder="1" applyAlignment="1">
      <alignment horizontal="center" vertical="center"/>
    </xf>
    <xf numFmtId="0" fontId="11" fillId="0" borderId="0" xfId="328" applyFont="1" applyAlignment="1">
      <alignment horizontal="left" vertical="center"/>
    </xf>
    <xf numFmtId="0" fontId="11" fillId="0" borderId="0" xfId="328" applyFont="1" applyAlignment="1">
      <alignment horizontal="right" vertical="center"/>
    </xf>
    <xf numFmtId="0" fontId="11" fillId="0" borderId="0" xfId="328" applyFont="1" applyAlignment="1">
      <alignment horizontal="center" vertical="center"/>
    </xf>
    <xf numFmtId="0" fontId="14" fillId="0" borderId="0" xfId="328" applyFont="1" applyAlignment="1">
      <alignment horizontal="center" vertical="center"/>
    </xf>
    <xf numFmtId="0" fontId="12" fillId="0" borderId="12" xfId="328" applyFont="1" applyBorder="1" applyAlignment="1">
      <alignment horizontal="right" vertical="center"/>
    </xf>
  </cellXfs>
  <cellStyles count="331">
    <cellStyle name="_x0001_" xfId="19"/>
    <cellStyle name="??" xfId="20"/>
    <cellStyle name="?? [0.00]_ Att. 1- Cover" xfId="21"/>
    <cellStyle name="?? [0]" xfId="22"/>
    <cellStyle name="?_x001d_??%U©÷u&amp;H©÷9_x0008_? s_x000a__x0007__x0001__x0001_" xfId="23"/>
    <cellStyle name="???? [0.00]_PRODUCT DETAIL Q1" xfId="24"/>
    <cellStyle name="????_PRODUCT DETAIL Q1" xfId="25"/>
    <cellStyle name="???[0]_?? DI" xfId="26"/>
    <cellStyle name="???_?? DI" xfId="27"/>
    <cellStyle name="??[0]_BRE" xfId="28"/>
    <cellStyle name="??_ Att. 1- Cover" xfId="29"/>
    <cellStyle name="??_kc-elec system check list" xfId="1"/>
    <cellStyle name="??A? [0]_ÿÿÿÿÿÿ_1_¢¬???¢â? " xfId="30"/>
    <cellStyle name="??A?_ÿÿÿÿÿÿ_1_¢¬???¢â? " xfId="31"/>
    <cellStyle name="?¡±¢¥?_?¨ù??¢´¢¥_¢¬???¢â? " xfId="32"/>
    <cellStyle name="?ðÇ%U?&amp;H?_x0008_?s_x000a__x0007__x0001__x0001_" xfId="33"/>
    <cellStyle name="_130307 So sanh thuc hien 2012 - du toan 2012 moi (pan khac)" xfId="34"/>
    <cellStyle name="_130313 Mau  bieu bao cao nguon luc cua dia phuong sua" xfId="35"/>
    <cellStyle name="_130818 Tong hop Danh gia thu 2013" xfId="36"/>
    <cellStyle name="_Bang Chi tieu (2)" xfId="37"/>
    <cellStyle name="_DG 2012-DT2013 - Theo sac thue -sua" xfId="38"/>
    <cellStyle name="_DG 2012-DT2013 - Theo sac thue -sua_120907 Thu tang them 4500" xfId="39"/>
    <cellStyle name="_KT (2)" xfId="40"/>
    <cellStyle name="_KT (2)_1" xfId="41"/>
    <cellStyle name="_KT (2)_2" xfId="42"/>
    <cellStyle name="_KT (2)_2_TG-TH" xfId="43"/>
    <cellStyle name="_KT (2)_3" xfId="44"/>
    <cellStyle name="_KT (2)_3_TG-TH" xfId="45"/>
    <cellStyle name="_KT (2)_4" xfId="46"/>
    <cellStyle name="_KT (2)_4_TG-TH" xfId="47"/>
    <cellStyle name="_KT (2)_5" xfId="48"/>
    <cellStyle name="_KT (2)_TG-TH" xfId="49"/>
    <cellStyle name="_KT_TG" xfId="50"/>
    <cellStyle name="_KT_TG_1" xfId="51"/>
    <cellStyle name="_KT_TG_2" xfId="52"/>
    <cellStyle name="_KT_TG_3" xfId="53"/>
    <cellStyle name="_KT_TG_4" xfId="54"/>
    <cellStyle name="_Phu luc kem BC gui VP Bo (18.2)" xfId="55"/>
    <cellStyle name="_TG-TH" xfId="56"/>
    <cellStyle name="_TG-TH_1" xfId="57"/>
    <cellStyle name="_TG-TH_2" xfId="58"/>
    <cellStyle name="_TG-TH_3" xfId="59"/>
    <cellStyle name="_TG-TH_4" xfId="60"/>
    <cellStyle name="~1" xfId="61"/>
    <cellStyle name="0" xfId="62"/>
    <cellStyle name="1" xfId="63"/>
    <cellStyle name="1_2-Ha GiangBB2011-V1" xfId="64"/>
    <cellStyle name="1_50-BB Vung tau 2011" xfId="65"/>
    <cellStyle name="1_52-Long An2011.BB-V1" xfId="66"/>
    <cellStyle name="¹éºÐÀ²_±âÅ¸" xfId="67"/>
    <cellStyle name="2" xfId="68"/>
    <cellStyle name="20" xfId="69"/>
    <cellStyle name="3" xfId="70"/>
    <cellStyle name="4" xfId="71"/>
    <cellStyle name="ÅëÈ­ [0]_¿ì¹°Åë" xfId="72"/>
    <cellStyle name="AeE­ [0]_INQUIRY ¿?¾÷AßAø " xfId="73"/>
    <cellStyle name="ÅëÈ­ [0]_laroux" xfId="74"/>
    <cellStyle name="ÅëÈ­_¿ì¹°Åë" xfId="75"/>
    <cellStyle name="AeE­_INQUIRY ¿?¾÷AßAø " xfId="76"/>
    <cellStyle name="ÅëÈ­_laroux" xfId="77"/>
    <cellStyle name="args.style" xfId="78"/>
    <cellStyle name="ÄÞ¸¶ [0]_¿ì¹°Åë" xfId="79"/>
    <cellStyle name="AÞ¸¶ [0]_INQUIRY ¿?¾÷AßAø " xfId="80"/>
    <cellStyle name="ÄÞ¸¶ [0]_laroux" xfId="81"/>
    <cellStyle name="ÄÞ¸¶_¿ì¹°Åë" xfId="82"/>
    <cellStyle name="AÞ¸¶_INQUIRY ¿?¾÷AßAø " xfId="83"/>
    <cellStyle name="ÄÞ¸¶_laroux" xfId="84"/>
    <cellStyle name="AutoFormat Options" xfId="85"/>
    <cellStyle name="Body" xfId="86"/>
    <cellStyle name="C?AØ_¿?¾÷CoE² " xfId="87"/>
    <cellStyle name="Ç¥ÁØ_#2(M17)_1" xfId="88"/>
    <cellStyle name="C￥AØ_¿μ¾÷CoE² " xfId="89"/>
    <cellStyle name="Ç¥ÁØ_±³°¢¼ö·®" xfId="90"/>
    <cellStyle name="C￥AØ_Sheet1_¿μ¾÷CoE² " xfId="91"/>
    <cellStyle name="Calc Currency (0)" xfId="92"/>
    <cellStyle name="Calc Currency (2)" xfId="93"/>
    <cellStyle name="Calc Percent (0)" xfId="94"/>
    <cellStyle name="Calc Percent (1)" xfId="95"/>
    <cellStyle name="Calc Percent (2)" xfId="96"/>
    <cellStyle name="Calc Units (0)" xfId="97"/>
    <cellStyle name="Calc Units (1)" xfId="98"/>
    <cellStyle name="Calc Units (2)" xfId="99"/>
    <cellStyle name="category" xfId="100"/>
    <cellStyle name="Chi phÝ kh¸c_Book1" xfId="101"/>
    <cellStyle name="Comma" xfId="2" builtinId="3"/>
    <cellStyle name="Comma  - Style1" xfId="102"/>
    <cellStyle name="Comma  - Style2" xfId="103"/>
    <cellStyle name="Comma  - Style3" xfId="104"/>
    <cellStyle name="Comma  - Style4" xfId="105"/>
    <cellStyle name="Comma  - Style5" xfId="106"/>
    <cellStyle name="Comma  - Style6" xfId="107"/>
    <cellStyle name="Comma  - Style7" xfId="108"/>
    <cellStyle name="Comma  - Style8" xfId="109"/>
    <cellStyle name="Comma [00]" xfId="110"/>
    <cellStyle name="Comma 10" xfId="324"/>
    <cellStyle name="Comma 12" xfId="111"/>
    <cellStyle name="Comma 2" xfId="112"/>
    <cellStyle name="Comma 2 2" xfId="113"/>
    <cellStyle name="Comma 2 2 2" xfId="114"/>
    <cellStyle name="Comma 2 3" xfId="115"/>
    <cellStyle name="Comma 2 4" xfId="116"/>
    <cellStyle name="Comma 2 5" xfId="117"/>
    <cellStyle name="Comma 28" xfId="13"/>
    <cellStyle name="Comma 3" xfId="3"/>
    <cellStyle name="Comma 3 2" xfId="118"/>
    <cellStyle name="Comma 4" xfId="119"/>
    <cellStyle name="Comma 5" xfId="120"/>
    <cellStyle name="Comma 6" xfId="329"/>
    <cellStyle name="Comma 7" xfId="321"/>
    <cellStyle name="Comma 8" xfId="322"/>
    <cellStyle name="Comma 9" xfId="323"/>
    <cellStyle name="comma zerodec" xfId="121"/>
    <cellStyle name="Comma0" xfId="122"/>
    <cellStyle name="Copied" xfId="123"/>
    <cellStyle name="Currency [00]" xfId="124"/>
    <cellStyle name="Currency0" xfId="125"/>
    <cellStyle name="Currency1" xfId="126"/>
    <cellStyle name="Date" xfId="127"/>
    <cellStyle name="Date Short" xfId="128"/>
    <cellStyle name="Dezimal [0]_NEGS" xfId="129"/>
    <cellStyle name="Dezimal_NEGS" xfId="130"/>
    <cellStyle name="Dollar (zero dec)" xfId="131"/>
    <cellStyle name="Dziesi?tny [0]_Invoices2001Slovakia" xfId="132"/>
    <cellStyle name="Dziesi?tny_Invoices2001Slovakia" xfId="133"/>
    <cellStyle name="Dziesietny [0]_Invoices2001Slovakia" xfId="134"/>
    <cellStyle name="Dziesiętny [0]_Invoices2001Slovakia" xfId="135"/>
    <cellStyle name="Dziesietny [0]_Invoices2001Slovakia_Book1" xfId="136"/>
    <cellStyle name="Dziesiętny [0]_Invoices2001Slovakia_Book1" xfId="137"/>
    <cellStyle name="Dziesietny [0]_Invoices2001Slovakia_Book1_Tong hop Cac tuyen(9-1-06)" xfId="138"/>
    <cellStyle name="Dziesiętny [0]_Invoices2001Slovakia_Book1_Tong hop Cac tuyen(9-1-06)" xfId="139"/>
    <cellStyle name="Dziesietny [0]_Invoices2001Slovakia_KL K.C mat duong" xfId="140"/>
    <cellStyle name="Dziesiętny [0]_Invoices2001Slovakia_Nhalamviec VTC(25-1-05)" xfId="141"/>
    <cellStyle name="Dziesietny [0]_Invoices2001Slovakia_TDT KHANH HOA" xfId="142"/>
    <cellStyle name="Dziesiętny [0]_Invoices2001Slovakia_TDT KHANH HOA" xfId="143"/>
    <cellStyle name="Dziesietny [0]_Invoices2001Slovakia_TDT KHANH HOA_Tong hop Cac tuyen(9-1-06)" xfId="144"/>
    <cellStyle name="Dziesiętny [0]_Invoices2001Slovakia_TDT KHANH HOA_Tong hop Cac tuyen(9-1-06)" xfId="145"/>
    <cellStyle name="Dziesietny [0]_Invoices2001Slovakia_TDT quangngai" xfId="146"/>
    <cellStyle name="Dziesiętny [0]_Invoices2001Slovakia_TDT quangngai" xfId="147"/>
    <cellStyle name="Dziesietny [0]_Invoices2001Slovakia_Tong hop Cac tuyen(9-1-06)" xfId="148"/>
    <cellStyle name="Dziesietny_Invoices2001Slovakia" xfId="149"/>
    <cellStyle name="Dziesiętny_Invoices2001Slovakia" xfId="150"/>
    <cellStyle name="Dziesietny_Invoices2001Slovakia_Book1" xfId="151"/>
    <cellStyle name="Dziesiętny_Invoices2001Slovakia_Book1" xfId="152"/>
    <cellStyle name="Dziesietny_Invoices2001Slovakia_Book1_Tong hop Cac tuyen(9-1-06)" xfId="153"/>
    <cellStyle name="Dziesiętny_Invoices2001Slovakia_Book1_Tong hop Cac tuyen(9-1-06)" xfId="154"/>
    <cellStyle name="Dziesietny_Invoices2001Slovakia_KL K.C mat duong" xfId="155"/>
    <cellStyle name="Dziesiętny_Invoices2001Slovakia_Nhalamviec VTC(25-1-05)" xfId="156"/>
    <cellStyle name="Dziesietny_Invoices2001Slovakia_TDT KHANH HOA" xfId="157"/>
    <cellStyle name="Dziesiętny_Invoices2001Slovakia_TDT KHANH HOA" xfId="158"/>
    <cellStyle name="Dziesietny_Invoices2001Slovakia_TDT KHANH HOA_Tong hop Cac tuyen(9-1-06)" xfId="159"/>
    <cellStyle name="Dziesiętny_Invoices2001Slovakia_TDT KHANH HOA_Tong hop Cac tuyen(9-1-06)" xfId="160"/>
    <cellStyle name="Dziesietny_Invoices2001Slovakia_TDT quangngai" xfId="161"/>
    <cellStyle name="Dziesiętny_Invoices2001Slovakia_TDT quangngai" xfId="162"/>
    <cellStyle name="Dziesietny_Invoices2001Slovakia_Tong hop Cac tuyen(9-1-06)" xfId="163"/>
    <cellStyle name="Enter Currency (0)" xfId="164"/>
    <cellStyle name="Enter Currency (2)" xfId="165"/>
    <cellStyle name="Enter Units (0)" xfId="166"/>
    <cellStyle name="Enter Units (1)" xfId="167"/>
    <cellStyle name="Enter Units (2)" xfId="168"/>
    <cellStyle name="Entered" xfId="169"/>
    <cellStyle name="Excel Built-in Normal" xfId="170"/>
    <cellStyle name="Fixed" xfId="171"/>
    <cellStyle name="Grey" xfId="172"/>
    <cellStyle name="HAI" xfId="14"/>
    <cellStyle name="Head 1" xfId="173"/>
    <cellStyle name="HEADER" xfId="174"/>
    <cellStyle name="Header1" xfId="4"/>
    <cellStyle name="Header2" xfId="5"/>
    <cellStyle name="HEADING1" xfId="175"/>
    <cellStyle name="HEADING2" xfId="176"/>
    <cellStyle name="HEADINGS" xfId="177"/>
    <cellStyle name="HEADINGSTOP" xfId="178"/>
    <cellStyle name="headoption" xfId="179"/>
    <cellStyle name="Hoa-Scholl" xfId="180"/>
    <cellStyle name="i·0" xfId="181"/>
    <cellStyle name="Input [yellow]" xfId="182"/>
    <cellStyle name="khanh" xfId="183"/>
    <cellStyle name="Ledger 17 x 11 in" xfId="184"/>
    <cellStyle name="Link Currency (0)" xfId="185"/>
    <cellStyle name="Link Currency (2)" xfId="186"/>
    <cellStyle name="Link Units (0)" xfId="187"/>
    <cellStyle name="Link Units (1)" xfId="188"/>
    <cellStyle name="Link Units (2)" xfId="189"/>
    <cellStyle name="Millares [0]_Well Timing" xfId="190"/>
    <cellStyle name="Millares_Well Timing" xfId="191"/>
    <cellStyle name="Milliers [0]_      " xfId="192"/>
    <cellStyle name="Milliers_      " xfId="193"/>
    <cellStyle name="Model" xfId="194"/>
    <cellStyle name="moi" xfId="195"/>
    <cellStyle name="Moneda [0]_Well Timing" xfId="196"/>
    <cellStyle name="Moneda_Well Timing" xfId="197"/>
    <cellStyle name="Monétaire [0]_      " xfId="198"/>
    <cellStyle name="Monétaire_      " xfId="199"/>
    <cellStyle name="n" xfId="200"/>
    <cellStyle name="New Times Roman" xfId="201"/>
    <cellStyle name="no dec" xfId="202"/>
    <cellStyle name="Normal" xfId="0" builtinId="0"/>
    <cellStyle name="Normal - Style1" xfId="203"/>
    <cellStyle name="Normal 10" xfId="204"/>
    <cellStyle name="Normal 11" xfId="205"/>
    <cellStyle name="Normal 11 3" xfId="15"/>
    <cellStyle name="Normal 12" xfId="328"/>
    <cellStyle name="Normal 13" xfId="320"/>
    <cellStyle name="Normal 16" xfId="16"/>
    <cellStyle name="Normal 2" xfId="6"/>
    <cellStyle name="Normal 2 2" xfId="7"/>
    <cellStyle name="Normal 2 2 2" xfId="206"/>
    <cellStyle name="Normal 2 2 2 2" xfId="207"/>
    <cellStyle name="Normal 2 3" xfId="208"/>
    <cellStyle name="Normal 2 3 2" xfId="209"/>
    <cellStyle name="Normal 2 4" xfId="210"/>
    <cellStyle name="Normal 2 5" xfId="211"/>
    <cellStyle name="Normal 3" xfId="8"/>
    <cellStyle name="Normal 3 2" xfId="212"/>
    <cellStyle name="Normal 3 4" xfId="12"/>
    <cellStyle name="Normal 4" xfId="17"/>
    <cellStyle name="Normal 5" xfId="18"/>
    <cellStyle name="Normal 5 2" xfId="213"/>
    <cellStyle name="Normal 6" xfId="214"/>
    <cellStyle name="Normal 7" xfId="215"/>
    <cellStyle name="Normal 8" xfId="216"/>
    <cellStyle name="Normal 9" xfId="217"/>
    <cellStyle name="Normal_Bao cao thu NSNN" xfId="9"/>
    <cellStyle name="Normal_Chi NSTW NSDP 2002 - PL" xfId="10"/>
    <cellStyle name="Normal_Mau giao thu (Bo)" xfId="11"/>
    <cellStyle name="Normal1" xfId="218"/>
    <cellStyle name="Normalny_Cennik obowiazuje od 06-08-2001 r (1)" xfId="219"/>
    <cellStyle name="oft Excel]_x000a__x000a_Comment=open=/f ‚ðw’è‚·‚é‚ÆAƒ†[ƒU[’è‹`ŠÖ”‚ðŠÖ”“\‚è•t‚¯‚Ìˆê——‚É“o˜^‚·‚é‚±‚Æ‚ª‚Å‚«‚Ü‚·B_x000a__x000a_Maximized" xfId="325"/>
    <cellStyle name="oft Excel]_x000a__x000a_Comment=open=/f ‚ðŽw’è‚·‚é‚ÆAƒ†[ƒU[’è‹`ŠÖ”‚ðŠÖ”“\‚è•t‚¯‚Ìˆê——‚É“o˜^‚·‚é‚±‚Æ‚ª‚Å‚«‚Ü‚·B_x000a__x000a_Maximized" xfId="326"/>
    <cellStyle name="oft Excel]_x000d__x000a_Comment=open=/f ‚ðw’è‚·‚é‚ÆAƒ†[ƒU[’è‹`ŠÖ”‚ðŠÖ”“\‚è•t‚¯‚Ìˆê——‚É“o˜^‚·‚é‚±‚Æ‚ª‚Å‚«‚Ü‚·B_x000d__x000a_Maximized" xfId="220"/>
    <cellStyle name="oft Excel]_x000d__x000a_Comment=open=/f ‚ðŽw’è‚·‚é‚ÆAƒ†[ƒU[’è‹`ŠÖ”‚ðŠÖ”“\‚è•t‚¯‚Ìˆê——‚É“o˜^‚·‚é‚±‚Æ‚ª‚Å‚«‚Ü‚·B_x000d__x000a_Maximized" xfId="221"/>
    <cellStyle name="per.style" xfId="222"/>
    <cellStyle name="Percent [0]" xfId="223"/>
    <cellStyle name="Percent [00]" xfId="224"/>
    <cellStyle name="Percent [2]" xfId="225"/>
    <cellStyle name="Percent 10" xfId="226"/>
    <cellStyle name="Percent 2" xfId="330"/>
    <cellStyle name="PERCENTAGE" xfId="227"/>
    <cellStyle name="PrePop Currency (0)" xfId="228"/>
    <cellStyle name="PrePop Currency (2)" xfId="229"/>
    <cellStyle name="PrePop Units (0)" xfId="230"/>
    <cellStyle name="PrePop Units (1)" xfId="231"/>
    <cellStyle name="PrePop Units (2)" xfId="232"/>
    <cellStyle name="pricing" xfId="233"/>
    <cellStyle name="PSChar" xfId="234"/>
    <cellStyle name="PSHeading" xfId="235"/>
    <cellStyle name="regstoresfromspecstores" xfId="236"/>
    <cellStyle name="RevList" xfId="237"/>
    <cellStyle name="S—_x0008_" xfId="238"/>
    <cellStyle name="SAPBEXaggData" xfId="239"/>
    <cellStyle name="SAPBEXaggDataEmph" xfId="240"/>
    <cellStyle name="SAPBEXaggItem" xfId="241"/>
    <cellStyle name="SAPBEXchaText" xfId="242"/>
    <cellStyle name="SAPBEXexcBad7" xfId="243"/>
    <cellStyle name="SAPBEXexcBad8" xfId="244"/>
    <cellStyle name="SAPBEXexcBad9" xfId="245"/>
    <cellStyle name="SAPBEXexcCritical4" xfId="246"/>
    <cellStyle name="SAPBEXexcCritical5" xfId="247"/>
    <cellStyle name="SAPBEXexcCritical6" xfId="248"/>
    <cellStyle name="SAPBEXexcGood1" xfId="249"/>
    <cellStyle name="SAPBEXexcGood2" xfId="250"/>
    <cellStyle name="SAPBEXexcGood3" xfId="251"/>
    <cellStyle name="SAPBEXfilterDrill" xfId="252"/>
    <cellStyle name="SAPBEXfilterItem" xfId="253"/>
    <cellStyle name="SAPBEXfilterText" xfId="254"/>
    <cellStyle name="SAPBEXformats" xfId="255"/>
    <cellStyle name="SAPBEXheaderItem" xfId="256"/>
    <cellStyle name="SAPBEXheaderText" xfId="257"/>
    <cellStyle name="SAPBEXresData" xfId="258"/>
    <cellStyle name="SAPBEXresDataEmph" xfId="259"/>
    <cellStyle name="SAPBEXresItem" xfId="260"/>
    <cellStyle name="SAPBEXstdData" xfId="261"/>
    <cellStyle name="SAPBEXstdDataEmph" xfId="262"/>
    <cellStyle name="SAPBEXstdItem" xfId="263"/>
    <cellStyle name="SAPBEXtitle" xfId="264"/>
    <cellStyle name="SAPBEXundefined" xfId="265"/>
    <cellStyle name="SHADEDSTORES" xfId="266"/>
    <cellStyle name="specstores" xfId="267"/>
    <cellStyle name="Standard" xfId="268"/>
    <cellStyle name="Style 1" xfId="269"/>
    <cellStyle name="Style 2" xfId="270"/>
    <cellStyle name="Style 3" xfId="271"/>
    <cellStyle name="Style 4" xfId="272"/>
    <cellStyle name="Style 5" xfId="273"/>
    <cellStyle name="subhead" xfId="274"/>
    <cellStyle name="Subtotal" xfId="275"/>
    <cellStyle name="T" xfId="276"/>
    <cellStyle name="T_50-BB Vung tau 2011" xfId="277"/>
    <cellStyle name="T_50-BB Vung tau 2011_120907 Thu tang them 4500" xfId="278"/>
    <cellStyle name="Text Indent A" xfId="279"/>
    <cellStyle name="Text Indent B" xfId="280"/>
    <cellStyle name="Text Indent C" xfId="281"/>
    <cellStyle name="th" xfId="282"/>
    <cellStyle name="þ_x001d_ðK_x000c_Fý_x001b__x000a_9ýU_x0001_Ð_x0008_¦)_x0007__x0001__x0001_" xfId="327"/>
    <cellStyle name="þ_x001d_ðK_x000c_Fý_x001b__x000d_9ýU_x0001_Ð_x0008_¦)_x0007__x0001__x0001_" xfId="283"/>
    <cellStyle name="Thuyet minh" xfId="284"/>
    <cellStyle name="viet" xfId="285"/>
    <cellStyle name="viet2" xfId="286"/>
    <cellStyle name="Vn Time 13" xfId="287"/>
    <cellStyle name="Vn Time 14" xfId="288"/>
    <cellStyle name="vnbo" xfId="289"/>
    <cellStyle name="vnhead1" xfId="290"/>
    <cellStyle name="vnhead2" xfId="291"/>
    <cellStyle name="vnhead3" xfId="292"/>
    <cellStyle name="vnhead4" xfId="293"/>
    <cellStyle name="vntxt1" xfId="294"/>
    <cellStyle name="vntxt2" xfId="295"/>
    <cellStyle name="Walutowy [0]_Invoices2001Slovakia" xfId="296"/>
    <cellStyle name="Walutowy_Invoices2001Slovakia" xfId="297"/>
    <cellStyle name="xuan" xfId="298"/>
    <cellStyle name=" [0.00]_ Att. 1- Cover" xfId="299"/>
    <cellStyle name="_ Att. 1- Cover" xfId="300"/>
    <cellStyle name="?_ Att. 1- Cover" xfId="301"/>
    <cellStyle name="똿뗦먛귟 [0.00]_PRODUCT DETAIL Q1" xfId="302"/>
    <cellStyle name="똿뗦먛귟_PRODUCT DETAIL Q1" xfId="303"/>
    <cellStyle name="믅됞 [0.00]_PRODUCT DETAIL Q1" xfId="304"/>
    <cellStyle name="믅됞_PRODUCT DETAIL Q1" xfId="305"/>
    <cellStyle name="백분율_95" xfId="306"/>
    <cellStyle name="뷭?_BOOKSHIP" xfId="307"/>
    <cellStyle name="콤마 [0]_1202" xfId="308"/>
    <cellStyle name="콤마_1202" xfId="309"/>
    <cellStyle name="통화 [0]_1202" xfId="310"/>
    <cellStyle name="통화_1202" xfId="311"/>
    <cellStyle name="표준_(정보부문)월별인원계획" xfId="312"/>
    <cellStyle name="一般_00Q3902REV.1" xfId="313"/>
    <cellStyle name="千分位[0]_00Q3902REV.1" xfId="314"/>
    <cellStyle name="千分位_00Q3902REV.1" xfId="315"/>
    <cellStyle name="標準_BOQ-08" xfId="316"/>
    <cellStyle name="貨幣 [0]_00Q3902REV.1" xfId="317"/>
    <cellStyle name="貨幣[0]_BRE" xfId="318"/>
    <cellStyle name="貨幣_00Q3902REV.1" xfId="31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161925</xdr:colOff>
      <xdr:row>1</xdr:row>
      <xdr:rowOff>47625</xdr:rowOff>
    </xdr:from>
    <xdr:to>
      <xdr:col>1</xdr:col>
      <xdr:colOff>790575</xdr:colOff>
      <xdr:row>1</xdr:row>
      <xdr:rowOff>47625</xdr:rowOff>
    </xdr:to>
    <xdr:cxnSp macro="">
      <xdr:nvCxnSpPr>
        <xdr:cNvPr id="2" name="Straight Connector 1"/>
        <xdr:cNvCxnSpPr/>
      </xdr:nvCxnSpPr>
      <xdr:spPr>
        <a:xfrm>
          <a:off x="847725" y="247650"/>
          <a:ext cx="6286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xdr:row>
      <xdr:rowOff>57150</xdr:rowOff>
    </xdr:from>
    <xdr:to>
      <xdr:col>1</xdr:col>
      <xdr:colOff>752475</xdr:colOff>
      <xdr:row>1</xdr:row>
      <xdr:rowOff>57150</xdr:rowOff>
    </xdr:to>
    <xdr:cxnSp macro="">
      <xdr:nvCxnSpPr>
        <xdr:cNvPr id="2" name="Straight Connector 1"/>
        <xdr:cNvCxnSpPr/>
      </xdr:nvCxnSpPr>
      <xdr:spPr>
        <a:xfrm>
          <a:off x="742950" y="257175"/>
          <a:ext cx="6953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TC15\SHARE_QLNSDPNSNN$\Hang\Bieu%20mau%20thu%202003%20vong%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gothithanhnhan\Downloads\file:\C:\Users\ngoquangthanh\Documents\BTC15\SHARE_QLNSDPNSNN$\Hang\Bieu%20mau%20thu%202003%20vong%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ngothithanhnhan\Downloads\file:\BTC15\SHARE_QLNSDPNSNN$\Hang\Bieu%20mau%20thu%202003%20vong%2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Zalo%20t&#7843;i%20v&#7873;\20220725.%20bieu%20so%2058%20den%20mau%20bieu%2070%20-%20n&#259;m%202021%20(K&#232;m%20theo%20B&#225;o%20c&#225;o%20c&#7911;a%20UBND%20t&#7881;n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20N&#258;M%202023\NG&#194;N%20S&#193;CH\T&#7892;NG%20QUY&#7870;T%20TO&#193;N%202022\Tham%20m&#432;u%20BC%20UBND%20t&#7881;nh\16.10.2023.BC.TQT%202022\16.10.2023.%20Bieu%20so%2058%20den%20mau%20bieu%207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 NSNN(V2)"/>
      <sheetName val="Dt 2001"/>
      <sheetName val="tinh CD DT"/>
      <sheetName val="Thu NSNN (V1)"/>
      <sheetName val="mau"/>
      <sheetName val="Sheet1"/>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 200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 NSNN(V2)"/>
      <sheetName val="Dt 2001"/>
      <sheetName val="tinh CD DT"/>
      <sheetName val="Thu NSNN (V1)"/>
      <sheetName val="mau"/>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0"/>
      <sheetName val="61 (2)"/>
      <sheetName val="62 (2)"/>
      <sheetName val="61"/>
      <sheetName val="62"/>
      <sheetName val="PL4834"/>
      <sheetName val="PL5036"/>
      <sheetName val="PL5137"/>
      <sheetName val="PL5200"/>
      <sheetName val="PL5338"/>
      <sheetName val="PL5439 (ĐT)"/>
      <sheetName val="PL5439 (SN)"/>
      <sheetName val="PL5941"/>
      <sheetName val="PL5840"/>
      <sheetName val="PL6142 (HCSN)"/>
      <sheetName val="000000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A1" t="str">
            <v>ỦY BAN NHÂN DÂN TỈNH BÌNH PHƯỚC</v>
          </cell>
        </row>
      </sheetData>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0"/>
      <sheetName val="61 (2)"/>
      <sheetName val="62 (2)"/>
      <sheetName val="61"/>
      <sheetName val="62"/>
      <sheetName val="PL4834"/>
      <sheetName val="PL5036"/>
      <sheetName val="PL5137"/>
      <sheetName val="PL5200"/>
      <sheetName val="PL5338"/>
      <sheetName val="PL5439 (ĐT)"/>
      <sheetName val="PL5439 (HCSN)"/>
      <sheetName val="PL5941"/>
      <sheetName val="PL5840"/>
      <sheetName val="PL6142 (HCSN)"/>
      <sheetName val="000000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ỦY BAN NHÂN DÂN TỈNH BÌNH PHƯỚC</v>
          </cell>
          <cell r="B1">
            <v>0</v>
          </cell>
          <cell r="C1">
            <v>0</v>
          </cell>
          <cell r="D1">
            <v>0</v>
          </cell>
        </row>
      </sheetData>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topLeftCell="A10" zoomScale="85" zoomScaleNormal="85" workbookViewId="0">
      <selection activeCell="C10" sqref="C10"/>
    </sheetView>
  </sheetViews>
  <sheetFormatPr defaultRowHeight="15.75"/>
  <cols>
    <col min="1" max="1" width="3.625" style="38" customWidth="1"/>
    <col min="2" max="2" width="29.75" style="38" customWidth="1"/>
    <col min="3" max="3" width="12" style="38" customWidth="1"/>
    <col min="4" max="4" width="14.625" style="38" bestFit="1" customWidth="1"/>
    <col min="5" max="5" width="11.25" style="38" customWidth="1"/>
    <col min="6" max="6" width="12.625" style="38" customWidth="1"/>
    <col min="7" max="7" width="4.375" style="38" customWidth="1"/>
    <col min="8" max="8" width="37.125" style="38" customWidth="1"/>
    <col min="9" max="11" width="9.875" style="38" customWidth="1"/>
    <col min="12" max="12" width="9.75" style="38" customWidth="1"/>
    <col min="13" max="13" width="10.125" style="38" bestFit="1" customWidth="1"/>
    <col min="14" max="16384" width="9" style="38"/>
  </cols>
  <sheetData>
    <row r="1" spans="1:13">
      <c r="A1" s="118" t="s">
        <v>621</v>
      </c>
      <c r="I1" s="711" t="s">
        <v>120</v>
      </c>
      <c r="J1" s="711"/>
      <c r="K1" s="711"/>
      <c r="L1" s="711"/>
      <c r="M1" s="469"/>
    </row>
    <row r="2" spans="1:13" ht="56.25" customHeight="1">
      <c r="A2" s="39"/>
      <c r="I2" s="710" t="s">
        <v>339</v>
      </c>
      <c r="J2" s="710"/>
      <c r="K2" s="710"/>
      <c r="L2" s="710"/>
      <c r="M2" s="468"/>
    </row>
    <row r="3" spans="1:13" ht="21.75" customHeight="1">
      <c r="A3" s="712" t="s">
        <v>507</v>
      </c>
      <c r="B3" s="712"/>
      <c r="C3" s="712"/>
      <c r="D3" s="712"/>
      <c r="E3" s="712"/>
      <c r="F3" s="712"/>
      <c r="G3" s="712"/>
      <c r="H3" s="712"/>
      <c r="I3" s="712"/>
      <c r="J3" s="712"/>
      <c r="K3" s="712"/>
      <c r="L3" s="712"/>
      <c r="M3" s="470"/>
    </row>
    <row r="4" spans="1:13" ht="24.75" customHeight="1">
      <c r="A4" s="713" t="s">
        <v>622</v>
      </c>
      <c r="B4" s="713"/>
      <c r="C4" s="713"/>
      <c r="D4" s="713"/>
      <c r="E4" s="713"/>
      <c r="F4" s="713"/>
      <c r="G4" s="713"/>
      <c r="H4" s="713"/>
      <c r="I4" s="713"/>
      <c r="J4" s="713"/>
      <c r="K4" s="713"/>
      <c r="L4" s="713"/>
      <c r="M4" s="471"/>
    </row>
    <row r="5" spans="1:13" ht="24" customHeight="1">
      <c r="B5" s="41"/>
      <c r="C5" s="41"/>
      <c r="D5" s="326"/>
      <c r="E5" s="41"/>
      <c r="F5" s="41"/>
      <c r="G5" s="41"/>
      <c r="H5" s="41"/>
      <c r="I5" s="41"/>
      <c r="J5" s="326"/>
      <c r="L5" s="40" t="s">
        <v>165</v>
      </c>
      <c r="M5" s="40"/>
    </row>
    <row r="6" spans="1:13" ht="21.75" customHeight="1">
      <c r="A6" s="714" t="s">
        <v>157</v>
      </c>
      <c r="B6" s="715"/>
      <c r="C6" s="72" t="s">
        <v>159</v>
      </c>
      <c r="D6" s="72" t="s">
        <v>3</v>
      </c>
      <c r="E6" s="72" t="s">
        <v>3</v>
      </c>
      <c r="F6" s="72" t="s">
        <v>3</v>
      </c>
      <c r="G6" s="714" t="s">
        <v>158</v>
      </c>
      <c r="H6" s="715"/>
      <c r="I6" s="72" t="s">
        <v>159</v>
      </c>
      <c r="J6" s="72" t="s">
        <v>4</v>
      </c>
      <c r="K6" s="72" t="s">
        <v>4</v>
      </c>
      <c r="L6" s="72" t="s">
        <v>4</v>
      </c>
      <c r="M6" s="475"/>
    </row>
    <row r="7" spans="1:13" ht="19.5" customHeight="1">
      <c r="A7" s="716"/>
      <c r="B7" s="717"/>
      <c r="C7" s="73" t="s">
        <v>160</v>
      </c>
      <c r="D7" s="73" t="s">
        <v>145</v>
      </c>
      <c r="E7" s="73" t="s">
        <v>142</v>
      </c>
      <c r="F7" s="73" t="s">
        <v>149</v>
      </c>
      <c r="G7" s="716"/>
      <c r="H7" s="717"/>
      <c r="I7" s="73" t="s">
        <v>160</v>
      </c>
      <c r="J7" s="73" t="s">
        <v>145</v>
      </c>
      <c r="K7" s="73" t="s">
        <v>142</v>
      </c>
      <c r="L7" s="73" t="s">
        <v>149</v>
      </c>
      <c r="M7" s="475"/>
    </row>
    <row r="8" spans="1:13" ht="16.5" customHeight="1">
      <c r="A8" s="43"/>
      <c r="B8" s="45">
        <v>1</v>
      </c>
      <c r="C8" s="45">
        <v>2</v>
      </c>
      <c r="D8" s="45">
        <v>3</v>
      </c>
      <c r="E8" s="46">
        <v>4</v>
      </c>
      <c r="F8" s="47">
        <v>5</v>
      </c>
      <c r="G8" s="44" t="s">
        <v>0</v>
      </c>
      <c r="H8" s="45">
        <v>6</v>
      </c>
      <c r="I8" s="45">
        <v>7</v>
      </c>
      <c r="J8" s="45">
        <v>8</v>
      </c>
      <c r="K8" s="45">
        <v>9</v>
      </c>
      <c r="L8" s="45">
        <v>10</v>
      </c>
      <c r="M8" s="476"/>
    </row>
    <row r="9" spans="1:13" ht="30" customHeight="1">
      <c r="A9" s="718" t="s">
        <v>161</v>
      </c>
      <c r="B9" s="719"/>
      <c r="C9" s="48"/>
      <c r="D9" s="48"/>
      <c r="E9" s="48"/>
      <c r="F9" s="49"/>
      <c r="G9" s="718" t="s">
        <v>162</v>
      </c>
      <c r="H9" s="719"/>
      <c r="I9" s="48"/>
      <c r="J9" s="48"/>
      <c r="K9" s="48"/>
      <c r="L9" s="48"/>
      <c r="M9" s="475"/>
    </row>
    <row r="10" spans="1:13" s="53" customFormat="1" ht="30" customHeight="1">
      <c r="A10" s="259" t="s">
        <v>1</v>
      </c>
      <c r="B10" s="51" t="s">
        <v>168</v>
      </c>
      <c r="C10" s="52">
        <f>SUM(C11:C17)+C20</f>
        <v>29534019</v>
      </c>
      <c r="D10" s="52">
        <f>SUM(D11:D17)+D20</f>
        <v>14947891.199999999</v>
      </c>
      <c r="E10" s="52">
        <f t="shared" ref="E10:F10" si="0">SUM(E11:E17)+E20</f>
        <v>12178727.800000001</v>
      </c>
      <c r="F10" s="52">
        <f t="shared" si="0"/>
        <v>2407400</v>
      </c>
      <c r="G10" s="259" t="s">
        <v>1</v>
      </c>
      <c r="H10" s="51" t="s">
        <v>169</v>
      </c>
      <c r="I10" s="52">
        <f t="shared" ref="I10:I11" si="1">SUM(J10:L10)</f>
        <v>29431514.800000004</v>
      </c>
      <c r="J10" s="52">
        <f>SUM(J11:J18)</f>
        <v>14928410.800000001</v>
      </c>
      <c r="K10" s="52">
        <f>SUM(K11:K18)</f>
        <v>12161565.4</v>
      </c>
      <c r="L10" s="52">
        <f>SUM(L11:L18)</f>
        <v>2341538.6</v>
      </c>
      <c r="M10" s="477"/>
    </row>
    <row r="11" spans="1:13" s="54" customFormat="1" ht="27" customHeight="1">
      <c r="A11" s="305">
        <v>1</v>
      </c>
      <c r="B11" s="306" t="s">
        <v>166</v>
      </c>
      <c r="C11" s="307">
        <f t="shared" ref="C11:C20" si="2">SUM(D11:F11)</f>
        <v>8479856.1999999993</v>
      </c>
      <c r="D11" s="307">
        <f>'61'!G11-D12</f>
        <v>4543379.1999999993</v>
      </c>
      <c r="E11" s="307">
        <f>'61'!H11-E12</f>
        <v>3654934</v>
      </c>
      <c r="F11" s="307">
        <f>'61'!I11-F12</f>
        <v>281543</v>
      </c>
      <c r="G11" s="243">
        <v>1</v>
      </c>
      <c r="H11" s="244" t="s">
        <v>167</v>
      </c>
      <c r="I11" s="246">
        <f t="shared" si="1"/>
        <v>6450021</v>
      </c>
      <c r="J11" s="245">
        <f>'62'!F12</f>
        <v>2990580</v>
      </c>
      <c r="K11" s="245">
        <f>'62'!G12</f>
        <v>2533943</v>
      </c>
      <c r="L11" s="245">
        <f>'62'!H12</f>
        <v>925498</v>
      </c>
      <c r="M11" s="478"/>
    </row>
    <row r="12" spans="1:13" s="54" customFormat="1" ht="27" customHeight="1">
      <c r="A12" s="247">
        <v>2</v>
      </c>
      <c r="B12" s="248" t="s">
        <v>170</v>
      </c>
      <c r="C12" s="249">
        <f t="shared" si="2"/>
        <v>4463814</v>
      </c>
      <c r="D12" s="249">
        <f>'61'!G14+'61'!G15+'61'!G28+'61'!G29+'61'!G35+'61'!G36+'61'!G44+'61'!G45+'61'!G37</f>
        <v>2950258</v>
      </c>
      <c r="E12" s="249">
        <f>'61'!H14+'61'!H15+'61'!H28+'61'!H29+'61'!H35+'61'!H36+'61'!H44+'61'!H45+'61'!H37</f>
        <v>1460305</v>
      </c>
      <c r="F12" s="249">
        <f>'61'!I14+'61'!I15+'61'!I28+'61'!I29+'61'!I35+'61'!I36+'61'!I44+'61'!I45+'61'!I37</f>
        <v>53251</v>
      </c>
      <c r="G12" s="247">
        <v>2</v>
      </c>
      <c r="H12" s="248" t="s">
        <v>154</v>
      </c>
      <c r="I12" s="250">
        <f t="shared" ref="I12:I14" si="3">SUM(J12:L12)</f>
        <v>7245688.2000000002</v>
      </c>
      <c r="J12" s="249">
        <f>'62'!F19</f>
        <v>1725520.7999999998</v>
      </c>
      <c r="K12" s="249">
        <f>'62'!G19</f>
        <v>4546496.4000000004</v>
      </c>
      <c r="L12" s="249">
        <f>'62'!H19</f>
        <v>973671</v>
      </c>
      <c r="M12" s="478"/>
    </row>
    <row r="13" spans="1:13" s="54" customFormat="1" ht="27" customHeight="1">
      <c r="A13" s="247">
        <v>3</v>
      </c>
      <c r="B13" s="248" t="s">
        <v>84</v>
      </c>
      <c r="C13" s="249">
        <f t="shared" si="2"/>
        <v>0</v>
      </c>
      <c r="D13" s="249"/>
      <c r="E13" s="249"/>
      <c r="F13" s="249"/>
      <c r="G13" s="247">
        <v>3</v>
      </c>
      <c r="H13" s="248" t="s">
        <v>530</v>
      </c>
      <c r="I13" s="250">
        <f t="shared" si="3"/>
        <v>8161</v>
      </c>
      <c r="J13" s="249">
        <f>+'62'!F15-J18</f>
        <v>8161</v>
      </c>
      <c r="K13" s="249">
        <f>'62'!G32</f>
        <v>0</v>
      </c>
      <c r="L13" s="249">
        <f>'62'!H32</f>
        <v>0</v>
      </c>
      <c r="M13" s="478"/>
    </row>
    <row r="14" spans="1:13" s="54" customFormat="1" ht="27" customHeight="1">
      <c r="A14" s="247">
        <v>4</v>
      </c>
      <c r="B14" s="248" t="s">
        <v>163</v>
      </c>
      <c r="C14" s="249">
        <f t="shared" si="2"/>
        <v>547535</v>
      </c>
      <c r="D14" s="249">
        <f>'61'!G87</f>
        <v>261460</v>
      </c>
      <c r="E14" s="249">
        <f>'61'!H87</f>
        <v>86941</v>
      </c>
      <c r="F14" s="249">
        <f>'61'!I87</f>
        <v>199134</v>
      </c>
      <c r="G14" s="247">
        <v>4</v>
      </c>
      <c r="H14" s="252" t="s">
        <v>143</v>
      </c>
      <c r="I14" s="382">
        <f t="shared" si="3"/>
        <v>9016720</v>
      </c>
      <c r="J14" s="253">
        <f>'62'!F33</f>
        <v>4962470</v>
      </c>
      <c r="K14" s="253">
        <f>'62'!G33</f>
        <v>3631637</v>
      </c>
      <c r="L14" s="253">
        <f>'62'!H33</f>
        <v>422613</v>
      </c>
      <c r="M14" s="479"/>
    </row>
    <row r="15" spans="1:13" s="54" customFormat="1" ht="27" customHeight="1">
      <c r="A15" s="251">
        <v>5</v>
      </c>
      <c r="B15" s="252" t="s">
        <v>164</v>
      </c>
      <c r="C15" s="253">
        <f t="shared" si="2"/>
        <v>5249083</v>
      </c>
      <c r="D15" s="253">
        <f>'61'!G86</f>
        <v>3084586</v>
      </c>
      <c r="E15" s="253">
        <f>'61'!H86</f>
        <v>1740176</v>
      </c>
      <c r="F15" s="253">
        <f>'61'!I86</f>
        <v>424321</v>
      </c>
      <c r="G15" s="247">
        <v>7</v>
      </c>
      <c r="H15" s="248" t="s">
        <v>135</v>
      </c>
      <c r="I15" s="250">
        <f>SUM(J15:L15)</f>
        <v>9226</v>
      </c>
      <c r="J15" s="249">
        <f>'62'!F39</f>
        <v>1000</v>
      </c>
      <c r="K15" s="249">
        <f>'62'!G39</f>
        <v>337</v>
      </c>
      <c r="L15" s="249">
        <f>'62'!H39</f>
        <v>7889</v>
      </c>
      <c r="M15" s="478"/>
    </row>
    <row r="16" spans="1:13" s="54" customFormat="1" ht="27" customHeight="1">
      <c r="A16" s="247">
        <v>6</v>
      </c>
      <c r="B16" s="248" t="s">
        <v>172</v>
      </c>
      <c r="C16" s="249">
        <f t="shared" si="2"/>
        <v>11868</v>
      </c>
      <c r="D16" s="249">
        <f>'61'!G85</f>
        <v>0</v>
      </c>
      <c r="E16" s="249">
        <f>'61'!H85</f>
        <v>11868</v>
      </c>
      <c r="F16" s="249">
        <f>'61'!I85</f>
        <v>0</v>
      </c>
      <c r="G16" s="247">
        <v>8</v>
      </c>
      <c r="H16" s="248" t="s">
        <v>153</v>
      </c>
      <c r="I16" s="250">
        <f>SUM(J16:L16)</f>
        <v>6673655</v>
      </c>
      <c r="J16" s="249">
        <f>'62'!F40</f>
        <v>5224503</v>
      </c>
      <c r="K16" s="249">
        <f>'62'!G40</f>
        <v>1449152</v>
      </c>
      <c r="L16" s="249">
        <f>'62'!H40</f>
        <v>0</v>
      </c>
      <c r="M16" s="478"/>
    </row>
    <row r="17" spans="1:13" s="54" customFormat="1" ht="27" customHeight="1">
      <c r="A17" s="247">
        <v>7</v>
      </c>
      <c r="B17" s="248" t="s">
        <v>173</v>
      </c>
      <c r="C17" s="249">
        <f t="shared" si="2"/>
        <v>10763262.800000001</v>
      </c>
      <c r="D17" s="249">
        <f>D18+D19</f>
        <v>4089608</v>
      </c>
      <c r="E17" s="249">
        <f>E18+E19</f>
        <v>5224503.8</v>
      </c>
      <c r="F17" s="249">
        <f>F18+F19</f>
        <v>1449151</v>
      </c>
      <c r="G17" s="247">
        <v>9</v>
      </c>
      <c r="H17" s="248" t="s">
        <v>155</v>
      </c>
      <c r="I17" s="250">
        <f>SUM(J17:L17)</f>
        <v>25547.599999999999</v>
      </c>
      <c r="J17" s="249">
        <f>'62'!F38</f>
        <v>13680</v>
      </c>
      <c r="K17" s="249">
        <f>'62'!G38</f>
        <v>0</v>
      </c>
      <c r="L17" s="249">
        <f>'62'!H38</f>
        <v>11867.6</v>
      </c>
      <c r="M17" s="478"/>
    </row>
    <row r="18" spans="1:13" s="54" customFormat="1" ht="27" customHeight="1">
      <c r="A18" s="247"/>
      <c r="B18" s="254" t="s">
        <v>174</v>
      </c>
      <c r="C18" s="255">
        <f t="shared" si="2"/>
        <v>6096452.4000000004</v>
      </c>
      <c r="D18" s="255">
        <f>'61'!G83</f>
        <v>2504745</v>
      </c>
      <c r="E18" s="255">
        <f>'61'!H83</f>
        <v>3082130.4</v>
      </c>
      <c r="F18" s="255">
        <f>'61'!I83</f>
        <v>509577</v>
      </c>
      <c r="G18" s="247">
        <v>10</v>
      </c>
      <c r="H18" s="248" t="s">
        <v>531</v>
      </c>
      <c r="I18" s="250">
        <f>SUM(J18:L18)</f>
        <v>2496</v>
      </c>
      <c r="J18" s="249">
        <v>2496</v>
      </c>
      <c r="K18" s="249"/>
      <c r="L18" s="249"/>
      <c r="M18" s="478"/>
    </row>
    <row r="19" spans="1:13" s="54" customFormat="1" ht="27" customHeight="1">
      <c r="A19" s="247"/>
      <c r="B19" s="254" t="s">
        <v>175</v>
      </c>
      <c r="C19" s="255">
        <f t="shared" si="2"/>
        <v>4666810.4000000004</v>
      </c>
      <c r="D19" s="256">
        <f>'61'!G84</f>
        <v>1584863</v>
      </c>
      <c r="E19" s="256">
        <f>'61'!H84</f>
        <v>2142373.4</v>
      </c>
      <c r="F19" s="256">
        <f>'61'!I84</f>
        <v>939574</v>
      </c>
      <c r="G19" s="491"/>
      <c r="H19" s="491"/>
      <c r="I19" s="491"/>
      <c r="J19" s="491"/>
      <c r="K19" s="491"/>
      <c r="L19" s="491"/>
      <c r="M19" s="478"/>
    </row>
    <row r="20" spans="1:13" s="54" customFormat="1" ht="27" customHeight="1">
      <c r="A20" s="372">
        <v>8</v>
      </c>
      <c r="B20" s="257" t="s">
        <v>437</v>
      </c>
      <c r="C20" s="258">
        <f t="shared" si="2"/>
        <v>18600</v>
      </c>
      <c r="D20" s="492">
        <f>'61'!G74</f>
        <v>18600</v>
      </c>
      <c r="E20" s="492"/>
      <c r="F20" s="492"/>
      <c r="G20" s="493"/>
      <c r="H20" s="493"/>
      <c r="I20" s="493"/>
      <c r="J20" s="493"/>
      <c r="K20" s="493"/>
      <c r="L20" s="493"/>
      <c r="M20" s="478"/>
    </row>
    <row r="21" spans="1:13" s="54" customFormat="1" ht="30.75" customHeight="1">
      <c r="A21" s="708" t="s">
        <v>171</v>
      </c>
      <c r="B21" s="709"/>
      <c r="C21" s="119">
        <f>C10-I10</f>
        <v>102504.19999999553</v>
      </c>
      <c r="D21" s="119">
        <f>D10-J10</f>
        <v>19480.39999999851</v>
      </c>
      <c r="E21" s="119">
        <f>E10-K10</f>
        <v>17162.400000000373</v>
      </c>
      <c r="F21" s="119">
        <f>F10-L10</f>
        <v>65861.399999999907</v>
      </c>
      <c r="G21" s="50"/>
      <c r="H21" s="55"/>
      <c r="I21" s="55"/>
      <c r="J21" s="55"/>
      <c r="K21" s="55"/>
      <c r="L21" s="55"/>
      <c r="M21" s="478"/>
    </row>
    <row r="22" spans="1:13" ht="15" customHeight="1">
      <c r="A22" s="56"/>
      <c r="B22" s="57"/>
      <c r="C22" s="54"/>
      <c r="D22" s="54"/>
      <c r="E22" s="54"/>
      <c r="F22" s="54"/>
      <c r="G22" s="56"/>
      <c r="H22" s="54"/>
      <c r="I22" s="42"/>
      <c r="J22" s="42"/>
      <c r="K22" s="42"/>
      <c r="L22" s="42"/>
      <c r="M22" s="42"/>
    </row>
    <row r="23" spans="1:13" ht="16.5">
      <c r="A23" s="390"/>
      <c r="B23" s="391"/>
      <c r="C23" s="392"/>
      <c r="E23" s="393"/>
      <c r="F23" s="392"/>
      <c r="G23" s="704"/>
      <c r="H23" s="704"/>
      <c r="I23" s="704"/>
      <c r="J23" s="704"/>
      <c r="K23" s="704"/>
      <c r="L23" s="704"/>
      <c r="M23" s="562"/>
    </row>
    <row r="24" spans="1:13" ht="16.5">
      <c r="A24" s="390"/>
      <c r="B24" s="391"/>
      <c r="C24" s="392"/>
      <c r="D24" s="392"/>
      <c r="E24" s="393"/>
      <c r="F24" s="392"/>
      <c r="G24" s="393"/>
      <c r="H24" s="393"/>
      <c r="I24" s="707"/>
      <c r="J24" s="707"/>
      <c r="K24" s="707"/>
      <c r="L24" s="707"/>
      <c r="M24" s="563"/>
    </row>
    <row r="25" spans="1:13" ht="16.5">
      <c r="A25" s="705"/>
      <c r="B25" s="705"/>
      <c r="C25" s="705"/>
      <c r="D25" s="705"/>
      <c r="E25" s="705"/>
      <c r="F25" s="705"/>
      <c r="G25" s="705"/>
      <c r="H25" s="705"/>
      <c r="I25" s="705"/>
      <c r="J25" s="705"/>
      <c r="K25" s="705"/>
      <c r="L25" s="705"/>
      <c r="M25" s="467"/>
    </row>
    <row r="26" spans="1:13" ht="16.5">
      <c r="A26" s="706"/>
      <c r="B26" s="706"/>
      <c r="C26" s="394"/>
      <c r="D26" s="706"/>
      <c r="E26" s="706"/>
      <c r="F26" s="706"/>
      <c r="G26" s="706"/>
      <c r="H26" s="394"/>
      <c r="I26" s="394"/>
      <c r="J26" s="394"/>
      <c r="K26" s="16"/>
      <c r="L26" s="16"/>
      <c r="M26" s="16"/>
    </row>
    <row r="27" spans="1:13" ht="16.5">
      <c r="A27" s="703"/>
      <c r="B27" s="703"/>
      <c r="C27" s="395"/>
      <c r="D27" s="396"/>
      <c r="E27" s="395"/>
      <c r="F27" s="395"/>
      <c r="G27" s="395"/>
      <c r="H27" s="395"/>
      <c r="I27" s="395"/>
      <c r="J27" s="395"/>
    </row>
    <row r="28" spans="1:13" ht="16.5">
      <c r="A28" s="397"/>
      <c r="B28" s="397"/>
      <c r="C28" s="497"/>
      <c r="D28" s="497"/>
      <c r="E28" s="395"/>
      <c r="F28" s="395"/>
      <c r="G28" s="395"/>
      <c r="H28" s="397"/>
      <c r="I28" s="397"/>
      <c r="J28" s="397"/>
    </row>
    <row r="29" spans="1:13" ht="16.5">
      <c r="A29" s="398"/>
      <c r="B29" s="395"/>
      <c r="C29" s="497"/>
      <c r="D29" s="497"/>
      <c r="E29" s="396"/>
      <c r="F29" s="396"/>
      <c r="G29" s="396"/>
      <c r="H29" s="396"/>
      <c r="I29" s="396"/>
      <c r="J29" s="396"/>
    </row>
    <row r="30" spans="1:13" ht="16.5">
      <c r="A30" s="398"/>
      <c r="B30" s="396"/>
      <c r="C30" s="497"/>
      <c r="D30" s="497"/>
      <c r="E30" s="396"/>
      <c r="F30" s="396"/>
      <c r="G30" s="396"/>
      <c r="H30" s="396"/>
      <c r="I30" s="396"/>
      <c r="J30" s="396"/>
    </row>
    <row r="31" spans="1:13" ht="16.5">
      <c r="A31" s="399"/>
      <c r="B31" s="399"/>
      <c r="C31" s="700"/>
      <c r="D31" s="700"/>
      <c r="E31" s="399"/>
      <c r="F31" s="399"/>
      <c r="G31" s="399"/>
      <c r="H31" s="399"/>
      <c r="I31" s="399"/>
      <c r="J31" s="399"/>
    </row>
    <row r="32" spans="1:13" ht="16.5">
      <c r="A32" s="500"/>
      <c r="B32" s="500"/>
      <c r="C32" s="701"/>
      <c r="D32" s="701"/>
      <c r="E32" s="500"/>
      <c r="F32" s="500"/>
      <c r="G32" s="500"/>
      <c r="H32" s="500"/>
      <c r="I32" s="500"/>
      <c r="J32" s="500"/>
    </row>
    <row r="35" spans="1:8">
      <c r="A35" s="342"/>
      <c r="B35" s="342"/>
      <c r="C35" s="341"/>
      <c r="D35" s="341"/>
      <c r="E35" s="341"/>
      <c r="F35" s="341"/>
    </row>
    <row r="36" spans="1:8">
      <c r="A36" s="342"/>
      <c r="B36" s="342"/>
      <c r="C36" s="400"/>
      <c r="D36" s="400"/>
      <c r="E36" s="400"/>
      <c r="F36" s="400"/>
    </row>
    <row r="37" spans="1:8" ht="18.75">
      <c r="B37" s="342"/>
      <c r="C37" s="344"/>
      <c r="D37" s="341"/>
      <c r="E37" s="342"/>
      <c r="F37" s="342"/>
      <c r="G37" s="342"/>
      <c r="H37" s="342"/>
    </row>
    <row r="38" spans="1:8">
      <c r="C38" s="331"/>
      <c r="D38" s="331"/>
      <c r="E38" s="331"/>
      <c r="F38" s="331"/>
    </row>
    <row r="39" spans="1:8">
      <c r="C39" s="345"/>
      <c r="D39" s="331"/>
    </row>
    <row r="40" spans="1:8">
      <c r="C40" s="331"/>
      <c r="D40" s="331"/>
      <c r="E40" s="331"/>
      <c r="F40" s="331"/>
      <c r="G40" s="331"/>
    </row>
    <row r="42" spans="1:8">
      <c r="D42" s="331"/>
    </row>
  </sheetData>
  <mergeCells count="15">
    <mergeCell ref="A21:B21"/>
    <mergeCell ref="I2:L2"/>
    <mergeCell ref="I1:L1"/>
    <mergeCell ref="A3:L3"/>
    <mergeCell ref="A4:L4"/>
    <mergeCell ref="A6:B7"/>
    <mergeCell ref="G6:H7"/>
    <mergeCell ref="A9:B9"/>
    <mergeCell ref="G9:H9"/>
    <mergeCell ref="A27:B27"/>
    <mergeCell ref="G23:L23"/>
    <mergeCell ref="A25:L25"/>
    <mergeCell ref="A26:B26"/>
    <mergeCell ref="D26:G26"/>
    <mergeCell ref="I24:L24"/>
  </mergeCells>
  <phoneticPr fontId="0" type="noConversion"/>
  <pageMargins left="0.33" right="0.2" top="0.35" bottom="0.3" header="0.26" footer="0.2"/>
  <pageSetup paperSize="9" scale="80" orientation="landscape" horizontalDpi="4294967295" verticalDpi="4294967295" r:id="rId1"/>
  <headerFooter alignWithMargins="0"/>
  <ignoredErrors>
    <ignoredError sqref="C11:C15"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
  <sheetViews>
    <sheetView zoomScale="60" zoomScaleNormal="60" workbookViewId="0">
      <selection activeCell="F11" sqref="F11"/>
    </sheetView>
  </sheetViews>
  <sheetFormatPr defaultRowHeight="15.75"/>
  <cols>
    <col min="1" max="1" width="7.75" style="38" customWidth="1"/>
    <col min="2" max="2" width="66.75" style="38" customWidth="1"/>
    <col min="3" max="3" width="13.5" style="38" customWidth="1"/>
    <col min="4" max="4" width="12.75" style="38" customWidth="1"/>
    <col min="5" max="5" width="12.5" style="38" customWidth="1"/>
    <col min="6" max="6" width="13.75" style="38" customWidth="1"/>
    <col min="7" max="7" width="16.875" style="38" customWidth="1"/>
    <col min="8" max="8" width="16.75" style="38" customWidth="1"/>
    <col min="9" max="11" width="10" style="38" customWidth="1"/>
    <col min="12" max="13" width="17.625" style="16" bestFit="1" customWidth="1"/>
    <col min="14" max="14" width="14.25" style="38" bestFit="1" customWidth="1"/>
    <col min="15" max="15" width="11.375" style="38" bestFit="1" customWidth="1"/>
    <col min="16" max="16384" width="9" style="38"/>
  </cols>
  <sheetData>
    <row r="1" spans="1:15" ht="21" customHeight="1">
      <c r="A1" s="753" t="str">
        <f>'PL5840'!A1:D1</f>
        <v>HỘI NHÂN DÂN TỈNH BÌNH PHƯỚC</v>
      </c>
      <c r="B1" s="753"/>
      <c r="C1" s="41"/>
      <c r="D1" s="143"/>
      <c r="E1" s="41"/>
      <c r="F1" s="143"/>
      <c r="G1" s="143"/>
      <c r="H1" s="759" t="s">
        <v>255</v>
      </c>
      <c r="I1" s="759"/>
      <c r="J1" s="759"/>
      <c r="K1" s="759"/>
    </row>
    <row r="2" spans="1:15" ht="50.25" customHeight="1">
      <c r="A2" s="144"/>
      <c r="B2" s="144"/>
      <c r="C2" s="41"/>
      <c r="D2" s="41"/>
      <c r="E2" s="41"/>
      <c r="F2" s="41"/>
      <c r="G2" s="41"/>
      <c r="H2" s="782" t="s">
        <v>340</v>
      </c>
      <c r="I2" s="782"/>
      <c r="J2" s="782"/>
      <c r="K2" s="782"/>
    </row>
    <row r="3" spans="1:15" ht="30" customHeight="1">
      <c r="A3" s="759" t="s">
        <v>336</v>
      </c>
      <c r="B3" s="759"/>
      <c r="C3" s="759"/>
      <c r="D3" s="759"/>
      <c r="E3" s="759"/>
      <c r="F3" s="759"/>
      <c r="G3" s="759"/>
      <c r="H3" s="759"/>
      <c r="I3" s="759"/>
      <c r="J3" s="759"/>
      <c r="K3" s="759"/>
    </row>
    <row r="4" spans="1:15" ht="30" customHeight="1">
      <c r="A4" s="759" t="s">
        <v>514</v>
      </c>
      <c r="B4" s="759"/>
      <c r="C4" s="759"/>
      <c r="D4" s="759"/>
      <c r="E4" s="759"/>
      <c r="F4" s="759"/>
      <c r="G4" s="759"/>
      <c r="H4" s="759"/>
      <c r="I4" s="759"/>
      <c r="J4" s="759"/>
      <c r="K4" s="759"/>
    </row>
    <row r="5" spans="1:15" ht="21" customHeight="1">
      <c r="A5" s="776" t="str">
        <f>'PL5840'!A4:AA4</f>
        <v>(Kèm theo Nghị quyết số:         /NQ-HĐND ngày      tháng  12  năm 2023 của Hội đồng nhân dân tỉnh)</v>
      </c>
      <c r="B5" s="776"/>
      <c r="C5" s="776"/>
      <c r="D5" s="776"/>
      <c r="E5" s="776"/>
      <c r="F5" s="776"/>
      <c r="G5" s="776"/>
      <c r="H5" s="776"/>
      <c r="I5" s="776"/>
      <c r="J5" s="776"/>
      <c r="K5" s="776"/>
    </row>
    <row r="6" spans="1:15" ht="26.25" customHeight="1">
      <c r="A6" s="145"/>
      <c r="B6" s="145"/>
      <c r="C6" s="41"/>
      <c r="D6" s="41"/>
      <c r="E6" s="41"/>
      <c r="F6" s="41"/>
      <c r="G6" s="41"/>
      <c r="H6" s="41"/>
      <c r="I6" s="41"/>
      <c r="J6" s="41"/>
      <c r="K6" s="41"/>
    </row>
    <row r="7" spans="1:15" ht="29.25" customHeight="1">
      <c r="A7" s="146"/>
      <c r="B7" s="146"/>
      <c r="C7" s="39"/>
      <c r="D7" s="39"/>
      <c r="E7" s="39"/>
      <c r="F7" s="783" t="s">
        <v>209</v>
      </c>
      <c r="G7" s="783"/>
      <c r="H7" s="783"/>
      <c r="I7" s="783"/>
      <c r="J7" s="783"/>
      <c r="K7" s="783"/>
    </row>
    <row r="8" spans="1:15" s="122" customFormat="1" ht="41.25" customHeight="1">
      <c r="A8" s="755" t="s">
        <v>18</v>
      </c>
      <c r="B8" s="755" t="s">
        <v>210</v>
      </c>
      <c r="C8" s="778" t="s">
        <v>256</v>
      </c>
      <c r="D8" s="780" t="s">
        <v>257</v>
      </c>
      <c r="E8" s="781"/>
      <c r="F8" s="778" t="s">
        <v>238</v>
      </c>
      <c r="G8" s="780" t="s">
        <v>257</v>
      </c>
      <c r="H8" s="781"/>
      <c r="I8" s="780" t="s">
        <v>239</v>
      </c>
      <c r="J8" s="784"/>
      <c r="K8" s="781"/>
      <c r="L8" s="123"/>
      <c r="M8" s="123"/>
    </row>
    <row r="9" spans="1:15" s="122" customFormat="1" ht="125.25" customHeight="1">
      <c r="A9" s="756"/>
      <c r="B9" s="756"/>
      <c r="C9" s="779"/>
      <c r="D9" s="157" t="s">
        <v>328</v>
      </c>
      <c r="E9" s="157" t="s">
        <v>327</v>
      </c>
      <c r="F9" s="779"/>
      <c r="G9" s="157" t="s">
        <v>328</v>
      </c>
      <c r="H9" s="157" t="s">
        <v>327</v>
      </c>
      <c r="I9" s="158" t="s">
        <v>335</v>
      </c>
      <c r="J9" s="157" t="s">
        <v>328</v>
      </c>
      <c r="K9" s="157" t="s">
        <v>327</v>
      </c>
      <c r="L9" s="123"/>
      <c r="M9" s="123"/>
    </row>
    <row r="10" spans="1:15" s="150" customFormat="1" ht="34.5" customHeight="1">
      <c r="A10" s="149" t="s">
        <v>1</v>
      </c>
      <c r="B10" s="148" t="s">
        <v>2</v>
      </c>
      <c r="C10" s="149" t="s">
        <v>258</v>
      </c>
      <c r="D10" s="149">
        <v>2</v>
      </c>
      <c r="E10" s="149">
        <f>D10+1</f>
        <v>3</v>
      </c>
      <c r="F10" s="149" t="s">
        <v>259</v>
      </c>
      <c r="G10" s="149">
        <v>5</v>
      </c>
      <c r="H10" s="149">
        <f>G10+1</f>
        <v>6</v>
      </c>
      <c r="I10" s="149" t="s">
        <v>260</v>
      </c>
      <c r="J10" s="149" t="s">
        <v>261</v>
      </c>
      <c r="K10" s="149" t="s">
        <v>262</v>
      </c>
      <c r="L10" s="195"/>
      <c r="M10" s="195"/>
    </row>
    <row r="11" spans="1:15" s="39" customFormat="1" ht="60" customHeight="1">
      <c r="A11" s="754" t="s">
        <v>224</v>
      </c>
      <c r="B11" s="754"/>
      <c r="C11" s="278">
        <f>C12</f>
        <v>18488000</v>
      </c>
      <c r="D11" s="278">
        <f t="shared" ref="D11:H11" si="0">D12</f>
        <v>9265329</v>
      </c>
      <c r="E11" s="278">
        <f t="shared" si="0"/>
        <v>9222671</v>
      </c>
      <c r="F11" s="278">
        <f t="shared" si="0"/>
        <v>22757859.799999997</v>
      </c>
      <c r="G11" s="278">
        <f t="shared" si="0"/>
        <v>9703907.8000000007</v>
      </c>
      <c r="H11" s="278">
        <f t="shared" si="0"/>
        <v>13053952</v>
      </c>
      <c r="I11" s="278">
        <f>F11/C11*100</f>
        <v>123.09530398096061</v>
      </c>
      <c r="J11" s="278">
        <f>G11/D11*100</f>
        <v>104.73354804778114</v>
      </c>
      <c r="K11" s="278">
        <f>H11/E11*100</f>
        <v>141.54198930006285</v>
      </c>
      <c r="L11" s="197"/>
      <c r="M11" s="197"/>
    </row>
    <row r="12" spans="1:15" s="39" customFormat="1" ht="60" customHeight="1">
      <c r="A12" s="168" t="s">
        <v>1</v>
      </c>
      <c r="B12" s="279" t="s">
        <v>263</v>
      </c>
      <c r="C12" s="260">
        <f t="shared" ref="C12:H12" si="1">SUM(C13:C15)+SUM(C19:C26)</f>
        <v>18488000</v>
      </c>
      <c r="D12" s="260">
        <f t="shared" si="1"/>
        <v>9265329</v>
      </c>
      <c r="E12" s="260">
        <f t="shared" si="1"/>
        <v>9222671</v>
      </c>
      <c r="F12" s="260">
        <f t="shared" si="1"/>
        <v>22757859.799999997</v>
      </c>
      <c r="G12" s="260">
        <f t="shared" si="1"/>
        <v>9703907.8000000007</v>
      </c>
      <c r="H12" s="260">
        <f t="shared" si="1"/>
        <v>13053952</v>
      </c>
      <c r="I12" s="170">
        <f t="shared" ref="I12:I23" si="2">F12/C12*100</f>
        <v>123.09530398096061</v>
      </c>
      <c r="J12" s="170">
        <f t="shared" ref="J12:J22" si="3">G12/D12*100</f>
        <v>104.73354804778114</v>
      </c>
      <c r="K12" s="170">
        <f t="shared" ref="K12:K23" si="4">H12/E12*100</f>
        <v>141.54198930006285</v>
      </c>
      <c r="L12" s="197"/>
      <c r="M12" s="197"/>
    </row>
    <row r="13" spans="1:15" s="39" customFormat="1" ht="60" customHeight="1">
      <c r="A13" s="171" t="s">
        <v>86</v>
      </c>
      <c r="B13" s="172" t="s">
        <v>226</v>
      </c>
      <c r="C13" s="176">
        <f>SUM(D13:E13)</f>
        <v>7481382</v>
      </c>
      <c r="D13" s="176">
        <v>4588576</v>
      </c>
      <c r="E13" s="176">
        <v>2892806</v>
      </c>
      <c r="F13" s="176">
        <f>SUM(G13:H13)</f>
        <v>6450021</v>
      </c>
      <c r="G13" s="176">
        <f>+'62'!F12</f>
        <v>2990580</v>
      </c>
      <c r="H13" s="176">
        <f>+'62'!G13+'62'!H13</f>
        <v>3459441</v>
      </c>
      <c r="I13" s="176">
        <f t="shared" si="2"/>
        <v>86.214298374284326</v>
      </c>
      <c r="J13" s="176">
        <f t="shared" si="3"/>
        <v>65.174468070268418</v>
      </c>
      <c r="K13" s="176">
        <f t="shared" si="4"/>
        <v>119.58772900775234</v>
      </c>
      <c r="L13" s="197"/>
      <c r="M13" s="197"/>
      <c r="N13" s="197"/>
      <c r="O13" s="328"/>
    </row>
    <row r="14" spans="1:15" s="39" customFormat="1" ht="60" customHeight="1">
      <c r="A14" s="171" t="s">
        <v>71</v>
      </c>
      <c r="B14" s="172" t="s">
        <v>337</v>
      </c>
      <c r="C14" s="176">
        <f>'62'!D15</f>
        <v>0</v>
      </c>
      <c r="D14" s="176">
        <f>'62'!D15</f>
        <v>0</v>
      </c>
      <c r="E14" s="176">
        <v>0</v>
      </c>
      <c r="F14" s="176">
        <f>SUM(G14:H14)</f>
        <v>10657</v>
      </c>
      <c r="G14" s="176">
        <f>+'62'!F15</f>
        <v>10657</v>
      </c>
      <c r="H14" s="176"/>
      <c r="I14" s="176"/>
      <c r="J14" s="176"/>
      <c r="K14" s="176"/>
      <c r="L14" s="197"/>
      <c r="M14" s="197"/>
    </row>
    <row r="15" spans="1:15" s="39" customFormat="1" ht="60" customHeight="1">
      <c r="A15" s="171" t="s">
        <v>73</v>
      </c>
      <c r="B15" s="172" t="s">
        <v>154</v>
      </c>
      <c r="C15" s="176">
        <f t="shared" ref="C15:C26" si="5">SUM(D15:E15)</f>
        <v>8802907</v>
      </c>
      <c r="D15" s="176">
        <v>3071818</v>
      </c>
      <c r="E15" s="176">
        <v>5731089</v>
      </c>
      <c r="F15" s="176">
        <f t="shared" ref="F15:F26" si="6">SUM(G15:H15)</f>
        <v>7245688.2000000002</v>
      </c>
      <c r="G15" s="176">
        <f>+'62'!F19</f>
        <v>1725520.7999999998</v>
      </c>
      <c r="H15" s="176">
        <f>+'62'!G19+'62'!H19</f>
        <v>5520167.4000000004</v>
      </c>
      <c r="I15" s="176">
        <f t="shared" si="2"/>
        <v>82.310175490891808</v>
      </c>
      <c r="J15" s="176">
        <f t="shared" si="3"/>
        <v>56.172624810454266</v>
      </c>
      <c r="K15" s="176">
        <f t="shared" si="4"/>
        <v>96.319694215183191</v>
      </c>
      <c r="L15" s="197"/>
      <c r="M15" s="197"/>
    </row>
    <row r="16" spans="1:15" s="39" customFormat="1" ht="37.5" customHeight="1">
      <c r="A16" s="171"/>
      <c r="B16" s="184" t="s">
        <v>246</v>
      </c>
      <c r="C16" s="176">
        <f t="shared" si="5"/>
        <v>0</v>
      </c>
      <c r="D16" s="176"/>
      <c r="E16" s="176"/>
      <c r="F16" s="176">
        <f t="shared" si="6"/>
        <v>0</v>
      </c>
      <c r="G16" s="176"/>
      <c r="H16" s="176"/>
      <c r="I16" s="176"/>
      <c r="J16" s="176"/>
      <c r="K16" s="176"/>
      <c r="L16" s="197"/>
      <c r="M16" s="197"/>
    </row>
    <row r="17" spans="1:13" s="39" customFormat="1" ht="60" customHeight="1">
      <c r="A17" s="183">
        <v>1</v>
      </c>
      <c r="B17" s="184" t="s">
        <v>247</v>
      </c>
      <c r="C17" s="175">
        <f t="shared" si="5"/>
        <v>3166882</v>
      </c>
      <c r="D17" s="175">
        <v>640970</v>
      </c>
      <c r="E17" s="175">
        <v>2525912</v>
      </c>
      <c r="F17" s="175">
        <f t="shared" si="6"/>
        <v>2752525.6</v>
      </c>
      <c r="G17" s="175">
        <f>+'62'!F22</f>
        <v>501761</v>
      </c>
      <c r="H17" s="175">
        <f>+'62'!G22+'62'!H22</f>
        <v>2250764.6</v>
      </c>
      <c r="I17" s="176">
        <f t="shared" si="2"/>
        <v>86.915950767979353</v>
      </c>
      <c r="J17" s="176">
        <f t="shared" si="3"/>
        <v>78.281510835140494</v>
      </c>
      <c r="K17" s="176">
        <f t="shared" si="4"/>
        <v>89.107007686728608</v>
      </c>
      <c r="L17" s="197"/>
      <c r="M17" s="197"/>
    </row>
    <row r="18" spans="1:13" s="39" customFormat="1" ht="60" customHeight="1">
      <c r="A18" s="183">
        <f>A17+1</f>
        <v>2</v>
      </c>
      <c r="B18" s="184" t="s">
        <v>248</v>
      </c>
      <c r="C18" s="175">
        <f t="shared" si="5"/>
        <v>24378</v>
      </c>
      <c r="D18" s="175">
        <v>24378</v>
      </c>
      <c r="E18" s="175"/>
      <c r="F18" s="175">
        <f t="shared" si="6"/>
        <v>11181</v>
      </c>
      <c r="G18" s="175">
        <f>+'62'!F23</f>
        <v>11181</v>
      </c>
      <c r="H18" s="175"/>
      <c r="I18" s="176">
        <f t="shared" si="2"/>
        <v>45.865124292394782</v>
      </c>
      <c r="J18" s="176">
        <f t="shared" si="3"/>
        <v>45.865124292394782</v>
      </c>
      <c r="K18" s="176"/>
      <c r="L18" s="197"/>
      <c r="M18" s="352" t="s">
        <v>439</v>
      </c>
    </row>
    <row r="19" spans="1:13" s="198" customFormat="1" ht="60" customHeight="1">
      <c r="A19" s="280" t="s">
        <v>79</v>
      </c>
      <c r="B19" s="281" t="s">
        <v>156</v>
      </c>
      <c r="C19" s="178">
        <f t="shared" si="5"/>
        <v>1000</v>
      </c>
      <c r="D19" s="178">
        <v>1000</v>
      </c>
      <c r="E19" s="178">
        <v>0</v>
      </c>
      <c r="F19" s="178">
        <f t="shared" si="6"/>
        <v>0</v>
      </c>
      <c r="G19" s="178">
        <f>'62'!F32</f>
        <v>0</v>
      </c>
      <c r="H19" s="178">
        <f>+'62'!G32+'62'!H32</f>
        <v>0</v>
      </c>
      <c r="I19" s="178">
        <f t="shared" si="2"/>
        <v>0</v>
      </c>
      <c r="J19" s="178">
        <f t="shared" si="3"/>
        <v>0</v>
      </c>
      <c r="K19" s="178"/>
      <c r="L19" s="465"/>
      <c r="M19" s="465"/>
    </row>
    <row r="20" spans="1:13" s="198" customFormat="1" ht="60" customHeight="1">
      <c r="A20" s="280" t="s">
        <v>80</v>
      </c>
      <c r="B20" s="281" t="s">
        <v>143</v>
      </c>
      <c r="C20" s="178">
        <f t="shared" si="5"/>
        <v>0</v>
      </c>
      <c r="D20" s="178">
        <v>0</v>
      </c>
      <c r="E20" s="178">
        <v>0</v>
      </c>
      <c r="F20" s="178">
        <f>SUM(G20:H20)</f>
        <v>9016720</v>
      </c>
      <c r="G20" s="178">
        <f>'62'!F33</f>
        <v>4962470</v>
      </c>
      <c r="H20" s="178">
        <f>'62'!G33+'62'!H33</f>
        <v>4054250</v>
      </c>
      <c r="I20" s="178"/>
      <c r="J20" s="178"/>
      <c r="K20" s="178"/>
      <c r="L20" s="465"/>
      <c r="M20" s="465"/>
    </row>
    <row r="21" spans="1:13" s="198" customFormat="1" ht="60" customHeight="1">
      <c r="A21" s="280" t="s">
        <v>81</v>
      </c>
      <c r="B21" s="281" t="s">
        <v>130</v>
      </c>
      <c r="C21" s="178">
        <f t="shared" si="5"/>
        <v>589474</v>
      </c>
      <c r="D21" s="178">
        <v>407664</v>
      </c>
      <c r="E21" s="178">
        <v>181810</v>
      </c>
      <c r="F21" s="178">
        <f t="shared" si="6"/>
        <v>0</v>
      </c>
      <c r="G21" s="178">
        <f>'62'!F34</f>
        <v>0</v>
      </c>
      <c r="H21" s="178">
        <f>+'62'!G34+'62'!H34</f>
        <v>0</v>
      </c>
      <c r="I21" s="178">
        <f t="shared" si="2"/>
        <v>0</v>
      </c>
      <c r="J21" s="178">
        <f t="shared" si="3"/>
        <v>0</v>
      </c>
      <c r="K21" s="178">
        <f t="shared" si="4"/>
        <v>0</v>
      </c>
      <c r="L21" s="465"/>
      <c r="M21" s="465"/>
    </row>
    <row r="22" spans="1:13" s="198" customFormat="1" ht="60" customHeight="1">
      <c r="A22" s="280" t="s">
        <v>136</v>
      </c>
      <c r="B22" s="281" t="s">
        <v>132</v>
      </c>
      <c r="C22" s="178">
        <f t="shared" si="5"/>
        <v>1490785</v>
      </c>
      <c r="D22" s="178">
        <v>1196271</v>
      </c>
      <c r="E22" s="178">
        <v>294514</v>
      </c>
      <c r="F22" s="178">
        <f t="shared" si="6"/>
        <v>0</v>
      </c>
      <c r="G22" s="178">
        <f>'62'!F35</f>
        <v>0</v>
      </c>
      <c r="H22" s="178">
        <f>+'62'!G35+'62'!H35</f>
        <v>0</v>
      </c>
      <c r="I22" s="178">
        <f t="shared" si="2"/>
        <v>0</v>
      </c>
      <c r="J22" s="178">
        <f t="shared" si="3"/>
        <v>0</v>
      </c>
      <c r="K22" s="178">
        <f t="shared" si="4"/>
        <v>0</v>
      </c>
      <c r="L22" s="465"/>
      <c r="M22" s="465"/>
    </row>
    <row r="23" spans="1:13" s="198" customFormat="1" ht="60" customHeight="1">
      <c r="A23" s="280" t="s">
        <v>137</v>
      </c>
      <c r="B23" s="281" t="s">
        <v>133</v>
      </c>
      <c r="C23" s="178">
        <f t="shared" si="5"/>
        <v>122452</v>
      </c>
      <c r="D23" s="178">
        <v>0</v>
      </c>
      <c r="E23" s="178">
        <v>122452</v>
      </c>
      <c r="F23" s="178">
        <f t="shared" si="6"/>
        <v>0</v>
      </c>
      <c r="G23" s="178">
        <f>'62'!F36</f>
        <v>0</v>
      </c>
      <c r="H23" s="178">
        <f>+'62'!G36+'62'!H36</f>
        <v>0</v>
      </c>
      <c r="I23" s="178">
        <f t="shared" si="2"/>
        <v>0</v>
      </c>
      <c r="J23" s="178"/>
      <c r="K23" s="178">
        <f t="shared" si="4"/>
        <v>0</v>
      </c>
      <c r="L23" s="465"/>
      <c r="M23" s="465"/>
    </row>
    <row r="24" spans="1:13" s="198" customFormat="1" ht="60" customHeight="1">
      <c r="A24" s="280" t="s">
        <v>138</v>
      </c>
      <c r="B24" s="281" t="s">
        <v>134</v>
      </c>
      <c r="C24" s="178">
        <f t="shared" si="5"/>
        <v>0</v>
      </c>
      <c r="D24" s="178">
        <v>0</v>
      </c>
      <c r="E24" s="178">
        <v>0</v>
      </c>
      <c r="F24" s="178">
        <f t="shared" si="6"/>
        <v>0</v>
      </c>
      <c r="G24" s="178">
        <f>'62'!F37</f>
        <v>0</v>
      </c>
      <c r="H24" s="178">
        <f>+'62'!G37+'62'!H37</f>
        <v>0</v>
      </c>
      <c r="I24" s="178"/>
      <c r="J24" s="178"/>
      <c r="K24" s="178"/>
      <c r="L24" s="465"/>
      <c r="M24" s="465"/>
    </row>
    <row r="25" spans="1:13" s="198" customFormat="1" ht="60" customHeight="1">
      <c r="A25" s="280" t="s">
        <v>139</v>
      </c>
      <c r="B25" s="308" t="s">
        <v>155</v>
      </c>
      <c r="C25" s="178">
        <f t="shared" si="5"/>
        <v>0</v>
      </c>
      <c r="D25" s="178">
        <v>0</v>
      </c>
      <c r="E25" s="178">
        <v>0</v>
      </c>
      <c r="F25" s="178">
        <f t="shared" si="6"/>
        <v>25547.599999999999</v>
      </c>
      <c r="G25" s="178">
        <f>+'62'!F38</f>
        <v>13680</v>
      </c>
      <c r="H25" s="178">
        <f>+'62'!H38</f>
        <v>11867.6</v>
      </c>
      <c r="I25" s="178"/>
      <c r="J25" s="178"/>
      <c r="K25" s="178"/>
      <c r="L25" s="465"/>
      <c r="M25" s="465"/>
    </row>
    <row r="26" spans="1:13" s="198" customFormat="1" ht="60" customHeight="1">
      <c r="A26" s="282" t="s">
        <v>140</v>
      </c>
      <c r="B26" s="283" t="s">
        <v>135</v>
      </c>
      <c r="C26" s="466">
        <f t="shared" si="5"/>
        <v>0</v>
      </c>
      <c r="D26" s="466">
        <v>0</v>
      </c>
      <c r="E26" s="466">
        <v>0</v>
      </c>
      <c r="F26" s="466">
        <f t="shared" si="6"/>
        <v>9226</v>
      </c>
      <c r="G26" s="466">
        <f>'62'!F39</f>
        <v>1000</v>
      </c>
      <c r="H26" s="466">
        <f>+'62'!G39+'62'!H39</f>
        <v>8226</v>
      </c>
      <c r="I26" s="466"/>
      <c r="J26" s="466"/>
      <c r="K26" s="466"/>
      <c r="L26" s="465"/>
      <c r="M26" s="465"/>
    </row>
  </sheetData>
  <mergeCells count="15">
    <mergeCell ref="A11:B11"/>
    <mergeCell ref="D8:E8"/>
    <mergeCell ref="F8:F9"/>
    <mergeCell ref="C8:C9"/>
    <mergeCell ref="A8:A9"/>
    <mergeCell ref="B8:B9"/>
    <mergeCell ref="A1:B1"/>
    <mergeCell ref="H1:K1"/>
    <mergeCell ref="H2:K2"/>
    <mergeCell ref="F7:K7"/>
    <mergeCell ref="G8:H8"/>
    <mergeCell ref="I8:K8"/>
    <mergeCell ref="A3:K3"/>
    <mergeCell ref="A4:K4"/>
    <mergeCell ref="A5:K5"/>
  </mergeCells>
  <pageMargins left="0.48" right="0.27" top="0.75" bottom="0.16" header="0.56000000000000005" footer="0.19"/>
  <pageSetup paperSize="9" scale="47" fitToHeight="5" orientation="portrait" r:id="rId1"/>
  <headerFooter alignWithMargins="0">
    <oddFooter xml:space="preserve">&amp;C&amp;".VnTime,Italic"&amp;8
</oddFooter>
  </headerFooter>
  <ignoredErrors>
    <ignoredError sqref="D12" formulaRange="1"/>
    <ignoredError sqref="C14"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zoomScale="55" zoomScaleNormal="55" workbookViewId="0">
      <selection activeCell="F14" sqref="F14"/>
    </sheetView>
  </sheetViews>
  <sheetFormatPr defaultRowHeight="16.5"/>
  <cols>
    <col min="1" max="1" width="6.25" style="192" customWidth="1"/>
    <col min="2" max="2" width="39.75" style="192" customWidth="1"/>
    <col min="3" max="3" width="15.375" style="409" customWidth="1"/>
    <col min="4" max="4" width="16.625" style="409" customWidth="1"/>
    <col min="5" max="5" width="14" style="409" bestFit="1" customWidth="1"/>
    <col min="6" max="6" width="12.25" style="409" customWidth="1"/>
    <col min="7" max="7" width="15.25" style="192" customWidth="1"/>
    <col min="8" max="8" width="14.375" style="192" customWidth="1"/>
    <col min="9" max="9" width="14.875" style="192" bestFit="1" customWidth="1"/>
    <col min="10" max="13" width="12.25" style="192" customWidth="1"/>
    <col min="14" max="14" width="12.25" style="409" customWidth="1"/>
    <col min="15" max="19" width="12.25" style="192" customWidth="1"/>
    <col min="20" max="20" width="9.625" style="578" customWidth="1"/>
    <col min="21" max="21" width="14.625" style="578" customWidth="1"/>
    <col min="22" max="22" width="22" style="579" customWidth="1"/>
    <col min="23" max="16384" width="9" style="579"/>
  </cols>
  <sheetData>
    <row r="1" spans="1:22" ht="28.5" customHeight="1">
      <c r="A1" s="406" t="str">
        <f>[4]PL5941!A1:C1</f>
        <v>ỦY BAN NHÂN DÂN TỈNH BÌNH PHƯỚC</v>
      </c>
      <c r="B1" s="406"/>
      <c r="C1" s="502"/>
      <c r="D1" s="404"/>
      <c r="E1" s="404"/>
      <c r="F1" s="404"/>
      <c r="G1" s="403"/>
      <c r="H1" s="403"/>
      <c r="I1" s="403"/>
      <c r="J1" s="403"/>
      <c r="K1" s="403"/>
      <c r="L1" s="402"/>
      <c r="M1" s="403"/>
      <c r="N1" s="405"/>
      <c r="O1" s="406"/>
      <c r="P1" s="406"/>
      <c r="Q1" s="406"/>
      <c r="R1" s="406"/>
      <c r="S1" s="407" t="s">
        <v>479</v>
      </c>
    </row>
    <row r="2" spans="1:22" ht="28.5" customHeight="1">
      <c r="A2" s="401"/>
      <c r="B2" s="401"/>
      <c r="C2" s="404"/>
      <c r="D2" s="404"/>
      <c r="E2" s="404"/>
      <c r="F2" s="404"/>
      <c r="G2" s="403"/>
      <c r="H2" s="403"/>
      <c r="I2" s="403"/>
      <c r="J2" s="403"/>
      <c r="K2" s="403"/>
      <c r="L2" s="403"/>
      <c r="M2" s="403"/>
      <c r="N2" s="404"/>
      <c r="O2" s="403"/>
      <c r="P2" s="403"/>
      <c r="Q2" s="403"/>
      <c r="R2" s="403"/>
      <c r="S2" s="403"/>
    </row>
    <row r="3" spans="1:22" ht="38.25" customHeight="1">
      <c r="A3" s="785" t="s">
        <v>515</v>
      </c>
      <c r="B3" s="785"/>
      <c r="C3" s="785"/>
      <c r="D3" s="785"/>
      <c r="E3" s="785"/>
      <c r="F3" s="785"/>
      <c r="G3" s="785"/>
      <c r="H3" s="785"/>
      <c r="I3" s="785"/>
      <c r="J3" s="785"/>
      <c r="K3" s="785"/>
      <c r="L3" s="785"/>
      <c r="M3" s="785"/>
      <c r="N3" s="785"/>
      <c r="O3" s="785"/>
      <c r="P3" s="785"/>
      <c r="Q3" s="785"/>
      <c r="R3" s="785"/>
      <c r="S3" s="785"/>
    </row>
    <row r="4" spans="1:22" ht="28.5" customHeight="1">
      <c r="A4" s="786" t="str">
        <f>'PL5338'!A5:K5</f>
        <v>(Kèm theo Nghị quyết số:         /NQ-HĐND ngày      tháng  12  năm 2023 của Hội đồng nhân dân tỉnh)</v>
      </c>
      <c r="B4" s="786"/>
      <c r="C4" s="786"/>
      <c r="D4" s="786"/>
      <c r="E4" s="786"/>
      <c r="F4" s="786"/>
      <c r="G4" s="786"/>
      <c r="H4" s="786"/>
      <c r="I4" s="786"/>
      <c r="J4" s="786"/>
      <c r="K4" s="786"/>
      <c r="L4" s="786"/>
      <c r="M4" s="786"/>
      <c r="N4" s="786"/>
      <c r="O4" s="786"/>
      <c r="P4" s="786"/>
      <c r="Q4" s="786"/>
      <c r="R4" s="786"/>
      <c r="S4" s="786"/>
    </row>
    <row r="5" spans="1:22">
      <c r="A5" s="408"/>
      <c r="B5" s="408"/>
      <c r="L5" s="410"/>
      <c r="M5" s="410"/>
      <c r="N5" s="411"/>
      <c r="O5" s="410"/>
      <c r="P5" s="410"/>
      <c r="Q5" s="410"/>
      <c r="R5" s="410"/>
      <c r="S5" s="412" t="s">
        <v>209</v>
      </c>
    </row>
    <row r="6" spans="1:22" s="581" customFormat="1" ht="15.75">
      <c r="A6" s="798" t="s">
        <v>264</v>
      </c>
      <c r="B6" s="787" t="s">
        <v>270</v>
      </c>
      <c r="C6" s="790" t="s">
        <v>256</v>
      </c>
      <c r="D6" s="791"/>
      <c r="E6" s="791"/>
      <c r="F6" s="792"/>
      <c r="G6" s="793" t="s">
        <v>238</v>
      </c>
      <c r="H6" s="794"/>
      <c r="I6" s="794"/>
      <c r="J6" s="794"/>
      <c r="K6" s="794"/>
      <c r="L6" s="794"/>
      <c r="M6" s="794"/>
      <c r="N6" s="794"/>
      <c r="O6" s="794"/>
      <c r="P6" s="795"/>
      <c r="Q6" s="796" t="s">
        <v>239</v>
      </c>
      <c r="R6" s="796"/>
      <c r="S6" s="797"/>
      <c r="T6" s="580"/>
      <c r="U6" s="580"/>
    </row>
    <row r="7" spans="1:22" s="581" customFormat="1" ht="15.75">
      <c r="A7" s="788"/>
      <c r="B7" s="788"/>
      <c r="C7" s="801" t="s">
        <v>144</v>
      </c>
      <c r="D7" s="801" t="s">
        <v>568</v>
      </c>
      <c r="E7" s="801" t="s">
        <v>569</v>
      </c>
      <c r="F7" s="801" t="s">
        <v>570</v>
      </c>
      <c r="G7" s="798" t="s">
        <v>144</v>
      </c>
      <c r="H7" s="798" t="s">
        <v>480</v>
      </c>
      <c r="I7" s="798" t="s">
        <v>569</v>
      </c>
      <c r="J7" s="798" t="s">
        <v>571</v>
      </c>
      <c r="K7" s="798" t="s">
        <v>267</v>
      </c>
      <c r="L7" s="798" t="s">
        <v>252</v>
      </c>
      <c r="M7" s="793" t="s">
        <v>268</v>
      </c>
      <c r="N7" s="794"/>
      <c r="O7" s="795"/>
      <c r="P7" s="798" t="s">
        <v>269</v>
      </c>
      <c r="Q7" s="798" t="s">
        <v>144</v>
      </c>
      <c r="R7" s="798" t="s">
        <v>167</v>
      </c>
      <c r="S7" s="798" t="s">
        <v>481</v>
      </c>
      <c r="T7" s="580"/>
      <c r="U7" s="580"/>
    </row>
    <row r="8" spans="1:22" s="581" customFormat="1" ht="16.5" customHeight="1">
      <c r="A8" s="788"/>
      <c r="B8" s="788"/>
      <c r="C8" s="802"/>
      <c r="D8" s="802"/>
      <c r="E8" s="802"/>
      <c r="F8" s="802"/>
      <c r="G8" s="799"/>
      <c r="H8" s="799"/>
      <c r="I8" s="799"/>
      <c r="J8" s="799"/>
      <c r="K8" s="799"/>
      <c r="L8" s="799"/>
      <c r="M8" s="798" t="s">
        <v>144</v>
      </c>
      <c r="N8" s="801" t="s">
        <v>167</v>
      </c>
      <c r="O8" s="798" t="s">
        <v>154</v>
      </c>
      <c r="P8" s="799"/>
      <c r="Q8" s="799"/>
      <c r="R8" s="799"/>
      <c r="S8" s="799"/>
      <c r="T8" s="580"/>
      <c r="U8" s="580"/>
    </row>
    <row r="9" spans="1:22" s="581" customFormat="1" ht="16.5" customHeight="1">
      <c r="A9" s="788"/>
      <c r="B9" s="788"/>
      <c r="C9" s="802"/>
      <c r="D9" s="802"/>
      <c r="E9" s="802"/>
      <c r="F9" s="802"/>
      <c r="G9" s="799"/>
      <c r="H9" s="799"/>
      <c r="I9" s="799"/>
      <c r="J9" s="799"/>
      <c r="K9" s="799"/>
      <c r="L9" s="799"/>
      <c r="M9" s="799"/>
      <c r="N9" s="802"/>
      <c r="O9" s="799"/>
      <c r="P9" s="799"/>
      <c r="Q9" s="799"/>
      <c r="R9" s="799"/>
      <c r="S9" s="799"/>
      <c r="T9" s="580"/>
      <c r="U9" s="580"/>
    </row>
    <row r="10" spans="1:22" s="581" customFormat="1" ht="117.75" customHeight="1">
      <c r="A10" s="789"/>
      <c r="B10" s="789"/>
      <c r="C10" s="803"/>
      <c r="D10" s="803"/>
      <c r="E10" s="803"/>
      <c r="F10" s="803"/>
      <c r="G10" s="800"/>
      <c r="H10" s="800"/>
      <c r="I10" s="800"/>
      <c r="J10" s="800"/>
      <c r="K10" s="800"/>
      <c r="L10" s="800"/>
      <c r="M10" s="800"/>
      <c r="N10" s="803"/>
      <c r="O10" s="800"/>
      <c r="P10" s="800"/>
      <c r="Q10" s="800"/>
      <c r="R10" s="800"/>
      <c r="S10" s="800"/>
      <c r="T10" s="580"/>
      <c r="U10" s="580"/>
    </row>
    <row r="11" spans="1:22" s="583" customFormat="1" ht="21" customHeight="1">
      <c r="A11" s="556" t="s">
        <v>1</v>
      </c>
      <c r="B11" s="557" t="s">
        <v>2</v>
      </c>
      <c r="C11" s="558">
        <v>1</v>
      </c>
      <c r="D11" s="558">
        <f>C11+1</f>
        <v>2</v>
      </c>
      <c r="E11" s="558"/>
      <c r="F11" s="558">
        <v>3</v>
      </c>
      <c r="G11" s="556">
        <v>4</v>
      </c>
      <c r="H11" s="556">
        <f t="shared" ref="H11:P11" si="0">G11+1</f>
        <v>5</v>
      </c>
      <c r="I11" s="556"/>
      <c r="J11" s="556">
        <f>H11+1</f>
        <v>6</v>
      </c>
      <c r="K11" s="556">
        <f t="shared" si="0"/>
        <v>7</v>
      </c>
      <c r="L11" s="556">
        <f t="shared" si="0"/>
        <v>8</v>
      </c>
      <c r="M11" s="556">
        <f t="shared" si="0"/>
        <v>9</v>
      </c>
      <c r="N11" s="558">
        <f t="shared" si="0"/>
        <v>10</v>
      </c>
      <c r="O11" s="556">
        <f t="shared" si="0"/>
        <v>11</v>
      </c>
      <c r="P11" s="556">
        <f t="shared" si="0"/>
        <v>12</v>
      </c>
      <c r="Q11" s="559" t="s">
        <v>482</v>
      </c>
      <c r="R11" s="559" t="s">
        <v>483</v>
      </c>
      <c r="S11" s="556">
        <v>15</v>
      </c>
      <c r="T11" s="582"/>
      <c r="U11" s="582"/>
    </row>
    <row r="12" spans="1:22" ht="45.75" customHeight="1">
      <c r="A12" s="413"/>
      <c r="B12" s="413" t="s">
        <v>271</v>
      </c>
      <c r="C12" s="415">
        <f>SUM(C14:C43)</f>
        <v>8742415.4597720001</v>
      </c>
      <c r="D12" s="415">
        <f>SUM(D14:D43)</f>
        <v>3281195</v>
      </c>
      <c r="E12" s="415">
        <f t="shared" ref="E12" si="1">SUM(E14:E43)</f>
        <v>4717144.4597720001</v>
      </c>
      <c r="F12" s="415">
        <f>SUM(F14:F43)</f>
        <v>744076</v>
      </c>
      <c r="G12" s="415">
        <f>SUM(G14:G43)</f>
        <v>6469904.5880720001</v>
      </c>
      <c r="H12" s="414">
        <f>SUM(H14:H43)</f>
        <v>2875548.3605239992</v>
      </c>
      <c r="I12" s="414">
        <f t="shared" ref="I12:S12" si="2">SUM(I14:I43)</f>
        <v>3094228.2761869999</v>
      </c>
      <c r="J12" s="414">
        <f t="shared" si="2"/>
        <v>0</v>
      </c>
      <c r="K12" s="414">
        <f>SUM(K14:K43)</f>
        <v>10657.001052</v>
      </c>
      <c r="L12" s="414">
        <f t="shared" ref="L12:P12" si="3">SUM(L14:L43)</f>
        <v>0</v>
      </c>
      <c r="M12" s="414">
        <f t="shared" si="3"/>
        <v>489470.95030899992</v>
      </c>
      <c r="N12" s="414">
        <f t="shared" si="3"/>
        <v>489470.95030899992</v>
      </c>
      <c r="O12" s="414">
        <f t="shared" si="3"/>
        <v>0</v>
      </c>
      <c r="P12" s="414">
        <f t="shared" si="3"/>
        <v>667173.337267</v>
      </c>
      <c r="Q12" s="414">
        <f t="shared" si="2"/>
        <v>0</v>
      </c>
      <c r="R12" s="414">
        <f t="shared" si="2"/>
        <v>0</v>
      </c>
      <c r="S12" s="414">
        <f t="shared" si="2"/>
        <v>0</v>
      </c>
      <c r="V12" s="578">
        <f>H12+J12+K12+L12+M12</f>
        <v>3375676.3118849993</v>
      </c>
    </row>
    <row r="13" spans="1:22" ht="45.75" customHeight="1">
      <c r="A13" s="417" t="s">
        <v>86</v>
      </c>
      <c r="B13" s="418" t="s">
        <v>435</v>
      </c>
      <c r="C13" s="420"/>
      <c r="D13" s="420"/>
      <c r="E13" s="420"/>
      <c r="F13" s="420"/>
      <c r="G13" s="419"/>
      <c r="H13" s="421"/>
      <c r="I13" s="421"/>
      <c r="J13" s="419"/>
      <c r="K13" s="419"/>
      <c r="L13" s="419"/>
      <c r="M13" s="421"/>
      <c r="N13" s="420"/>
      <c r="O13" s="419"/>
      <c r="P13" s="419"/>
      <c r="Q13" s="421"/>
      <c r="R13" s="421"/>
      <c r="S13" s="419"/>
      <c r="V13" s="578">
        <f>D12+F12</f>
        <v>4025271</v>
      </c>
    </row>
    <row r="14" spans="1:22" s="585" customFormat="1" ht="45.75" customHeight="1">
      <c r="A14" s="422">
        <v>1</v>
      </c>
      <c r="B14" s="423" t="s">
        <v>572</v>
      </c>
      <c r="C14" s="424">
        <f>D14+F14+E14</f>
        <v>16640</v>
      </c>
      <c r="D14" s="424">
        <v>16640</v>
      </c>
      <c r="E14" s="424"/>
      <c r="F14" s="424"/>
      <c r="G14" s="421">
        <f>M14+L14+K14+J14+I14+H14</f>
        <v>10657.001052</v>
      </c>
      <c r="H14" s="421"/>
      <c r="I14" s="421"/>
      <c r="J14" s="421"/>
      <c r="K14" s="421">
        <v>10657.001052</v>
      </c>
      <c r="L14" s="421"/>
      <c r="M14" s="421">
        <f>N14+O14</f>
        <v>0</v>
      </c>
      <c r="N14" s="424">
        <v>0</v>
      </c>
      <c r="O14" s="421"/>
      <c r="P14" s="421">
        <v>0</v>
      </c>
      <c r="Q14" s="421"/>
      <c r="R14" s="421"/>
      <c r="S14" s="421"/>
      <c r="T14" s="584"/>
      <c r="U14" s="584"/>
    </row>
    <row r="15" spans="1:22" ht="45.75" customHeight="1">
      <c r="A15" s="422">
        <v>2</v>
      </c>
      <c r="B15" s="423" t="s">
        <v>484</v>
      </c>
      <c r="C15" s="424">
        <f t="shared" ref="C15:C42" si="4">D15+F15+E15</f>
        <v>15000</v>
      </c>
      <c r="D15" s="424">
        <v>15000</v>
      </c>
      <c r="E15" s="424"/>
      <c r="F15" s="424"/>
      <c r="G15" s="421">
        <f t="shared" ref="G15:G40" si="5">M15+L15+K15+J15+I15+H15</f>
        <v>12894.495414000001</v>
      </c>
      <c r="H15" s="421">
        <v>12894.495414000001</v>
      </c>
      <c r="I15" s="421"/>
      <c r="J15" s="421"/>
      <c r="K15" s="421"/>
      <c r="L15" s="421"/>
      <c r="M15" s="421">
        <f t="shared" ref="M15:M42" si="6">N15+O15</f>
        <v>0</v>
      </c>
      <c r="N15" s="424">
        <v>0</v>
      </c>
      <c r="O15" s="421"/>
      <c r="P15" s="421">
        <v>0</v>
      </c>
      <c r="Q15" s="421"/>
      <c r="R15" s="421"/>
      <c r="S15" s="421"/>
      <c r="T15" s="579"/>
      <c r="U15" s="579"/>
    </row>
    <row r="16" spans="1:22" ht="45.75" customHeight="1">
      <c r="A16" s="422">
        <v>3</v>
      </c>
      <c r="B16" s="423" t="s">
        <v>573</v>
      </c>
      <c r="C16" s="424">
        <f t="shared" si="4"/>
        <v>53932</v>
      </c>
      <c r="D16" s="424">
        <v>53932</v>
      </c>
      <c r="E16" s="424"/>
      <c r="F16" s="424"/>
      <c r="G16" s="421">
        <f t="shared" si="5"/>
        <v>29519.280999999999</v>
      </c>
      <c r="H16" s="421">
        <v>29519.280999999999</v>
      </c>
      <c r="I16" s="421"/>
      <c r="J16" s="421"/>
      <c r="K16" s="421"/>
      <c r="L16" s="421"/>
      <c r="M16" s="421">
        <f t="shared" si="6"/>
        <v>0</v>
      </c>
      <c r="N16" s="424">
        <v>0</v>
      </c>
      <c r="O16" s="421"/>
      <c r="P16" s="421">
        <v>0</v>
      </c>
      <c r="Q16" s="421"/>
      <c r="R16" s="421"/>
      <c r="S16" s="421"/>
      <c r="T16" s="579"/>
    </row>
    <row r="17" spans="1:21" ht="45.75" customHeight="1">
      <c r="A17" s="422">
        <v>4</v>
      </c>
      <c r="B17" s="425" t="s">
        <v>485</v>
      </c>
      <c r="C17" s="424">
        <f t="shared" si="4"/>
        <v>1474704</v>
      </c>
      <c r="D17" s="424">
        <v>1474704</v>
      </c>
      <c r="E17" s="424"/>
      <c r="F17" s="424"/>
      <c r="G17" s="421">
        <f t="shared" si="5"/>
        <v>1330483.8134029999</v>
      </c>
      <c r="H17" s="424">
        <v>1330483.8134029999</v>
      </c>
      <c r="I17" s="424"/>
      <c r="J17" s="424"/>
      <c r="K17" s="424"/>
      <c r="L17" s="424"/>
      <c r="M17" s="421">
        <f t="shared" si="6"/>
        <v>0</v>
      </c>
      <c r="N17" s="424">
        <v>0</v>
      </c>
      <c r="O17" s="424"/>
      <c r="P17" s="424">
        <v>121963.48685299999</v>
      </c>
      <c r="Q17" s="421"/>
      <c r="R17" s="421"/>
      <c r="S17" s="424"/>
      <c r="T17" s="579"/>
      <c r="U17" s="579"/>
    </row>
    <row r="18" spans="1:21" ht="45.75" customHeight="1">
      <c r="A18" s="422">
        <v>5</v>
      </c>
      <c r="B18" s="423" t="s">
        <v>486</v>
      </c>
      <c r="C18" s="424">
        <f t="shared" si="4"/>
        <v>24800</v>
      </c>
      <c r="D18" s="424">
        <v>24800</v>
      </c>
      <c r="E18" s="424"/>
      <c r="F18" s="424"/>
      <c r="G18" s="421">
        <f t="shared" si="5"/>
        <v>21215.424242000001</v>
      </c>
      <c r="H18" s="421">
        <v>21215.424242000001</v>
      </c>
      <c r="I18" s="421"/>
      <c r="J18" s="421"/>
      <c r="K18" s="421"/>
      <c r="L18" s="421"/>
      <c r="M18" s="421">
        <f t="shared" si="6"/>
        <v>0</v>
      </c>
      <c r="N18" s="424">
        <v>0</v>
      </c>
      <c r="O18" s="421"/>
      <c r="P18" s="421">
        <v>0</v>
      </c>
      <c r="Q18" s="421"/>
      <c r="R18" s="421"/>
      <c r="S18" s="421"/>
      <c r="T18" s="579"/>
      <c r="U18" s="579"/>
    </row>
    <row r="19" spans="1:21" ht="45.75" customHeight="1">
      <c r="A19" s="422">
        <v>6</v>
      </c>
      <c r="B19" s="423" t="s">
        <v>487</v>
      </c>
      <c r="C19" s="424">
        <f t="shared" si="4"/>
        <v>143659</v>
      </c>
      <c r="D19" s="424">
        <v>0</v>
      </c>
      <c r="E19" s="424"/>
      <c r="F19" s="424">
        <v>143659</v>
      </c>
      <c r="G19" s="421">
        <f t="shared" si="5"/>
        <v>115799.677998</v>
      </c>
      <c r="H19" s="421"/>
      <c r="I19" s="421"/>
      <c r="J19" s="421"/>
      <c r="K19" s="421"/>
      <c r="L19" s="421"/>
      <c r="M19" s="421">
        <f>N19+O19</f>
        <v>115799.677998</v>
      </c>
      <c r="N19" s="424">
        <v>115799.677998</v>
      </c>
      <c r="O19" s="421"/>
      <c r="P19" s="421">
        <v>0</v>
      </c>
      <c r="Q19" s="421"/>
      <c r="R19" s="421"/>
      <c r="S19" s="421"/>
      <c r="T19" s="579"/>
      <c r="U19" s="579"/>
    </row>
    <row r="20" spans="1:21" ht="45.75" customHeight="1">
      <c r="A20" s="422">
        <v>7</v>
      </c>
      <c r="B20" s="423" t="s">
        <v>488</v>
      </c>
      <c r="C20" s="424">
        <f t="shared" si="4"/>
        <v>28497</v>
      </c>
      <c r="D20" s="424">
        <v>28497</v>
      </c>
      <c r="E20" s="424"/>
      <c r="F20" s="424"/>
      <c r="G20" s="421">
        <f t="shared" si="5"/>
        <v>5373.6581269999997</v>
      </c>
      <c r="H20" s="421">
        <v>5373.6581269999997</v>
      </c>
      <c r="I20" s="421"/>
      <c r="J20" s="421"/>
      <c r="K20" s="421"/>
      <c r="L20" s="421"/>
      <c r="M20" s="421">
        <f t="shared" si="6"/>
        <v>0</v>
      </c>
      <c r="N20" s="424">
        <v>0</v>
      </c>
      <c r="O20" s="421"/>
      <c r="P20" s="421">
        <v>18123</v>
      </c>
      <c r="Q20" s="421"/>
      <c r="R20" s="421"/>
      <c r="S20" s="421"/>
      <c r="T20" s="579"/>
      <c r="U20" s="579"/>
    </row>
    <row r="21" spans="1:21" ht="45.75" customHeight="1">
      <c r="A21" s="422">
        <v>8</v>
      </c>
      <c r="B21" s="423" t="s">
        <v>489</v>
      </c>
      <c r="C21" s="424">
        <f t="shared" si="4"/>
        <v>53600</v>
      </c>
      <c r="D21" s="424">
        <v>53600</v>
      </c>
      <c r="E21" s="424"/>
      <c r="F21" s="424"/>
      <c r="G21" s="421">
        <f t="shared" si="5"/>
        <v>53600</v>
      </c>
      <c r="H21" s="421">
        <v>53600</v>
      </c>
      <c r="I21" s="421"/>
      <c r="J21" s="421"/>
      <c r="K21" s="421"/>
      <c r="L21" s="421"/>
      <c r="M21" s="421">
        <f t="shared" si="6"/>
        <v>0</v>
      </c>
      <c r="N21" s="424">
        <v>0</v>
      </c>
      <c r="O21" s="421"/>
      <c r="P21" s="421">
        <v>0</v>
      </c>
      <c r="Q21" s="421"/>
      <c r="R21" s="421"/>
      <c r="S21" s="421"/>
      <c r="T21" s="579"/>
      <c r="U21" s="579"/>
    </row>
    <row r="22" spans="1:21" ht="45.75" customHeight="1">
      <c r="A22" s="422">
        <v>9</v>
      </c>
      <c r="B22" s="423" t="s">
        <v>490</v>
      </c>
      <c r="C22" s="424">
        <f t="shared" si="4"/>
        <v>21273</v>
      </c>
      <c r="D22" s="424">
        <v>21273</v>
      </c>
      <c r="E22" s="424"/>
      <c r="F22" s="424"/>
      <c r="G22" s="421">
        <f t="shared" si="5"/>
        <v>21272.837084999999</v>
      </c>
      <c r="H22" s="421">
        <v>21272.837084999999</v>
      </c>
      <c r="I22" s="421"/>
      <c r="J22" s="421"/>
      <c r="K22" s="421"/>
      <c r="L22" s="421"/>
      <c r="M22" s="421">
        <f t="shared" si="6"/>
        <v>0</v>
      </c>
      <c r="N22" s="424">
        <v>0</v>
      </c>
      <c r="O22" s="421"/>
      <c r="P22" s="421">
        <v>0</v>
      </c>
      <c r="Q22" s="421"/>
      <c r="R22" s="421"/>
      <c r="S22" s="421"/>
      <c r="T22" s="579"/>
      <c r="U22" s="579"/>
    </row>
    <row r="23" spans="1:21" ht="45.75" customHeight="1">
      <c r="A23" s="422">
        <v>10</v>
      </c>
      <c r="B23" s="427" t="s">
        <v>491</v>
      </c>
      <c r="C23" s="424">
        <f t="shared" si="4"/>
        <v>613</v>
      </c>
      <c r="D23" s="424"/>
      <c r="E23" s="424"/>
      <c r="F23" s="424">
        <v>613</v>
      </c>
      <c r="G23" s="421">
        <f t="shared" si="5"/>
        <v>0</v>
      </c>
      <c r="H23" s="421"/>
      <c r="I23" s="421"/>
      <c r="J23" s="421"/>
      <c r="K23" s="421"/>
      <c r="L23" s="421"/>
      <c r="M23" s="421">
        <f t="shared" si="6"/>
        <v>0</v>
      </c>
      <c r="N23" s="424">
        <v>0</v>
      </c>
      <c r="O23" s="421"/>
      <c r="P23" s="421">
        <v>613</v>
      </c>
      <c r="Q23" s="421"/>
      <c r="R23" s="421"/>
      <c r="S23" s="421"/>
      <c r="T23" s="579"/>
      <c r="U23" s="579"/>
    </row>
    <row r="24" spans="1:21" ht="45.75" customHeight="1">
      <c r="A24" s="422">
        <v>11</v>
      </c>
      <c r="B24" s="427" t="s">
        <v>492</v>
      </c>
      <c r="C24" s="424">
        <f t="shared" si="4"/>
        <v>30000</v>
      </c>
      <c r="D24" s="424">
        <v>30000</v>
      </c>
      <c r="E24" s="424"/>
      <c r="F24" s="424"/>
      <c r="G24" s="421">
        <f t="shared" si="5"/>
        <v>29793.059399999998</v>
      </c>
      <c r="H24" s="421">
        <v>29793.059399999998</v>
      </c>
      <c r="I24" s="421"/>
      <c r="J24" s="421"/>
      <c r="K24" s="421"/>
      <c r="L24" s="421"/>
      <c r="M24" s="421">
        <f t="shared" si="6"/>
        <v>0</v>
      </c>
      <c r="N24" s="424">
        <v>0</v>
      </c>
      <c r="O24" s="421"/>
      <c r="P24" s="421">
        <v>0</v>
      </c>
      <c r="Q24" s="421"/>
      <c r="R24" s="421"/>
      <c r="S24" s="421"/>
      <c r="T24" s="579"/>
      <c r="U24" s="579"/>
    </row>
    <row r="25" spans="1:21" ht="45.75" customHeight="1">
      <c r="A25" s="422">
        <v>12</v>
      </c>
      <c r="B25" s="427" t="s">
        <v>493</v>
      </c>
      <c r="C25" s="424">
        <f t="shared" si="4"/>
        <v>78500</v>
      </c>
      <c r="D25" s="424">
        <v>78500</v>
      </c>
      <c r="E25" s="424"/>
      <c r="F25" s="424"/>
      <c r="G25" s="421">
        <f t="shared" si="5"/>
        <v>58721.909907000001</v>
      </c>
      <c r="H25" s="421">
        <v>58721.909907000001</v>
      </c>
      <c r="I25" s="421"/>
      <c r="J25" s="421"/>
      <c r="K25" s="421"/>
      <c r="L25" s="421"/>
      <c r="M25" s="421">
        <f t="shared" si="6"/>
        <v>0</v>
      </c>
      <c r="N25" s="424">
        <v>0</v>
      </c>
      <c r="O25" s="421"/>
      <c r="P25" s="421">
        <v>0</v>
      </c>
      <c r="Q25" s="421"/>
      <c r="R25" s="421"/>
      <c r="S25" s="421"/>
      <c r="T25" s="579"/>
      <c r="U25" s="579"/>
    </row>
    <row r="26" spans="1:21" ht="45.75" customHeight="1">
      <c r="A26" s="422">
        <v>13</v>
      </c>
      <c r="B26" s="427" t="s">
        <v>494</v>
      </c>
      <c r="C26" s="424">
        <f t="shared" si="4"/>
        <v>10052</v>
      </c>
      <c r="D26" s="424">
        <v>10000</v>
      </c>
      <c r="E26" s="424"/>
      <c r="F26" s="424">
        <v>52</v>
      </c>
      <c r="G26" s="421">
        <f t="shared" si="5"/>
        <v>10000</v>
      </c>
      <c r="H26" s="421">
        <v>10000</v>
      </c>
      <c r="I26" s="421"/>
      <c r="J26" s="421"/>
      <c r="K26" s="421"/>
      <c r="L26" s="421"/>
      <c r="M26" s="421">
        <f t="shared" si="6"/>
        <v>0</v>
      </c>
      <c r="N26" s="424">
        <v>0</v>
      </c>
      <c r="O26" s="421"/>
      <c r="P26" s="421">
        <v>52</v>
      </c>
      <c r="Q26" s="421"/>
      <c r="R26" s="421"/>
      <c r="S26" s="421"/>
      <c r="T26" s="579"/>
      <c r="U26" s="579"/>
    </row>
    <row r="27" spans="1:21" ht="45.75" customHeight="1">
      <c r="A27" s="422">
        <v>14</v>
      </c>
      <c r="B27" s="427" t="s">
        <v>574</v>
      </c>
      <c r="C27" s="424">
        <f t="shared" si="4"/>
        <v>13994</v>
      </c>
      <c r="D27" s="424">
        <v>13994</v>
      </c>
      <c r="E27" s="424"/>
      <c r="F27" s="424"/>
      <c r="G27" s="421">
        <f t="shared" si="5"/>
        <v>13943.7</v>
      </c>
      <c r="H27" s="421">
        <v>13943.7</v>
      </c>
      <c r="I27" s="421"/>
      <c r="J27" s="421"/>
      <c r="K27" s="421"/>
      <c r="L27" s="421"/>
      <c r="M27" s="421">
        <f t="shared" si="6"/>
        <v>0</v>
      </c>
      <c r="N27" s="424">
        <v>0</v>
      </c>
      <c r="O27" s="421"/>
      <c r="P27" s="421">
        <v>50.3</v>
      </c>
      <c r="Q27" s="421"/>
      <c r="R27" s="421"/>
      <c r="S27" s="421"/>
      <c r="T27" s="579"/>
      <c r="U27" s="579"/>
    </row>
    <row r="28" spans="1:21" ht="45.75" customHeight="1">
      <c r="A28" s="422">
        <v>15</v>
      </c>
      <c r="B28" s="427" t="s">
        <v>575</v>
      </c>
      <c r="C28" s="424">
        <f t="shared" si="4"/>
        <v>599</v>
      </c>
      <c r="D28" s="424"/>
      <c r="E28" s="424"/>
      <c r="F28" s="424">
        <v>599</v>
      </c>
      <c r="G28" s="421">
        <f t="shared" si="5"/>
        <v>0</v>
      </c>
      <c r="H28" s="421"/>
      <c r="I28" s="421"/>
      <c r="J28" s="421"/>
      <c r="K28" s="421"/>
      <c r="L28" s="421"/>
      <c r="M28" s="421">
        <f t="shared" si="6"/>
        <v>0</v>
      </c>
      <c r="N28" s="424">
        <v>0</v>
      </c>
      <c r="O28" s="421"/>
      <c r="P28" s="421">
        <v>599</v>
      </c>
      <c r="Q28" s="421"/>
      <c r="R28" s="421"/>
      <c r="S28" s="421"/>
      <c r="T28" s="579"/>
      <c r="U28" s="579"/>
    </row>
    <row r="29" spans="1:21" ht="45.75" customHeight="1">
      <c r="A29" s="422">
        <v>16</v>
      </c>
      <c r="B29" s="427" t="s">
        <v>576</v>
      </c>
      <c r="C29" s="424">
        <f t="shared" si="4"/>
        <v>652</v>
      </c>
      <c r="D29" s="424"/>
      <c r="E29" s="424"/>
      <c r="F29" s="424">
        <v>652</v>
      </c>
      <c r="G29" s="421">
        <f t="shared" si="5"/>
        <v>0</v>
      </c>
      <c r="H29" s="421"/>
      <c r="I29" s="421"/>
      <c r="J29" s="421"/>
      <c r="K29" s="421"/>
      <c r="L29" s="421"/>
      <c r="M29" s="421">
        <f t="shared" si="6"/>
        <v>0</v>
      </c>
      <c r="N29" s="424">
        <v>0</v>
      </c>
      <c r="O29" s="421"/>
      <c r="P29" s="421">
        <v>652</v>
      </c>
      <c r="Q29" s="421"/>
      <c r="R29" s="421"/>
      <c r="S29" s="421"/>
      <c r="T29" s="579"/>
      <c r="U29" s="579"/>
    </row>
    <row r="30" spans="1:21" ht="45.75" customHeight="1">
      <c r="A30" s="422">
        <v>17</v>
      </c>
      <c r="B30" s="427" t="s">
        <v>577</v>
      </c>
      <c r="C30" s="424">
        <f t="shared" si="4"/>
        <v>51</v>
      </c>
      <c r="D30" s="424"/>
      <c r="E30" s="424"/>
      <c r="F30" s="424">
        <v>51</v>
      </c>
      <c r="G30" s="421">
        <f t="shared" si="5"/>
        <v>0</v>
      </c>
      <c r="H30" s="421"/>
      <c r="I30" s="421"/>
      <c r="J30" s="421"/>
      <c r="K30" s="421"/>
      <c r="L30" s="421"/>
      <c r="M30" s="421">
        <f t="shared" si="6"/>
        <v>0</v>
      </c>
      <c r="N30" s="424">
        <v>0</v>
      </c>
      <c r="O30" s="421"/>
      <c r="P30" s="421">
        <v>51</v>
      </c>
      <c r="Q30" s="421"/>
      <c r="R30" s="421"/>
      <c r="S30" s="421"/>
      <c r="T30" s="579"/>
      <c r="U30" s="579"/>
    </row>
    <row r="31" spans="1:21" ht="45.75" customHeight="1">
      <c r="A31" s="422">
        <v>18</v>
      </c>
      <c r="B31" s="427" t="s">
        <v>578</v>
      </c>
      <c r="C31" s="424">
        <f t="shared" si="4"/>
        <v>5000</v>
      </c>
      <c r="D31" s="424">
        <v>5000</v>
      </c>
      <c r="E31" s="424"/>
      <c r="F31" s="424"/>
      <c r="G31" s="421">
        <f t="shared" si="5"/>
        <v>332.65889600000003</v>
      </c>
      <c r="H31" s="421">
        <v>332.65889600000003</v>
      </c>
      <c r="I31" s="421"/>
      <c r="J31" s="421"/>
      <c r="K31" s="421"/>
      <c r="L31" s="421"/>
      <c r="M31" s="421">
        <f t="shared" si="6"/>
        <v>0</v>
      </c>
      <c r="N31" s="424">
        <v>0</v>
      </c>
      <c r="O31" s="421"/>
      <c r="P31" s="421">
        <v>0</v>
      </c>
      <c r="Q31" s="421"/>
      <c r="R31" s="421"/>
      <c r="S31" s="421"/>
    </row>
    <row r="32" spans="1:21" ht="45.75" customHeight="1">
      <c r="A32" s="422">
        <v>19</v>
      </c>
      <c r="B32" s="423" t="s">
        <v>495</v>
      </c>
      <c r="C32" s="424">
        <f>D32+F32+E32</f>
        <v>491674.455349</v>
      </c>
      <c r="D32" s="424">
        <v>114189</v>
      </c>
      <c r="E32" s="424">
        <v>377466.455349</v>
      </c>
      <c r="F32" s="424">
        <v>19</v>
      </c>
      <c r="G32" s="421">
        <f>M32+L32+K32+J32+I32+H32</f>
        <v>325136.57656899997</v>
      </c>
      <c r="H32" s="421">
        <v>98674.408960999994</v>
      </c>
      <c r="I32" s="421">
        <v>223710.973608</v>
      </c>
      <c r="J32" s="421"/>
      <c r="K32" s="421"/>
      <c r="L32" s="421"/>
      <c r="M32" s="421">
        <f t="shared" si="6"/>
        <v>2751.194</v>
      </c>
      <c r="N32" s="424">
        <v>2751.194</v>
      </c>
      <c r="O32" s="421"/>
      <c r="P32" s="421">
        <f>24927.871233+15358</f>
        <v>40285.871232999998</v>
      </c>
      <c r="Q32" s="421"/>
      <c r="R32" s="421"/>
      <c r="S32" s="421"/>
    </row>
    <row r="33" spans="1:22" ht="45.75" customHeight="1">
      <c r="A33" s="422">
        <v>20</v>
      </c>
      <c r="B33" s="423" t="s">
        <v>496</v>
      </c>
      <c r="C33" s="424">
        <f t="shared" si="4"/>
        <v>914594</v>
      </c>
      <c r="D33" s="424">
        <v>93700</v>
      </c>
      <c r="E33" s="424">
        <v>816340</v>
      </c>
      <c r="F33" s="424">
        <v>4554</v>
      </c>
      <c r="G33" s="421">
        <f t="shared" si="5"/>
        <v>299107.28534599999</v>
      </c>
      <c r="H33" s="421">
        <v>98239.288</v>
      </c>
      <c r="I33" s="421">
        <v>200867.99734599999</v>
      </c>
      <c r="J33" s="421"/>
      <c r="K33" s="421"/>
      <c r="L33" s="421"/>
      <c r="M33" s="421">
        <f t="shared" si="6"/>
        <v>0</v>
      </c>
      <c r="N33" s="424">
        <v>0</v>
      </c>
      <c r="O33" s="421"/>
      <c r="P33" s="421">
        <v>5045.1580000000004</v>
      </c>
      <c r="Q33" s="421"/>
      <c r="R33" s="421"/>
      <c r="S33" s="421"/>
    </row>
    <row r="34" spans="1:22" ht="45.75" customHeight="1">
      <c r="A34" s="422">
        <v>21</v>
      </c>
      <c r="B34" s="423" t="s">
        <v>497</v>
      </c>
      <c r="C34" s="424">
        <f t="shared" si="4"/>
        <v>562585.08002600004</v>
      </c>
      <c r="D34" s="424">
        <v>81500</v>
      </c>
      <c r="E34" s="424">
        <v>473569.08002599998</v>
      </c>
      <c r="F34" s="424">
        <v>7516</v>
      </c>
      <c r="G34" s="421">
        <f t="shared" si="5"/>
        <v>209953.556553</v>
      </c>
      <c r="H34" s="421">
        <v>38170.994323999999</v>
      </c>
      <c r="I34" s="421">
        <v>170294.19188699999</v>
      </c>
      <c r="J34" s="421"/>
      <c r="K34" s="421"/>
      <c r="L34" s="421"/>
      <c r="M34" s="421">
        <f t="shared" si="6"/>
        <v>1488.3703419999999</v>
      </c>
      <c r="N34" s="424">
        <v>1488.3703419999999</v>
      </c>
      <c r="O34" s="421"/>
      <c r="P34" s="421">
        <v>151823.636409</v>
      </c>
      <c r="Q34" s="421"/>
      <c r="R34" s="421"/>
      <c r="S34" s="421"/>
    </row>
    <row r="35" spans="1:22" ht="45.75" customHeight="1">
      <c r="A35" s="422">
        <v>22</v>
      </c>
      <c r="B35" s="423" t="s">
        <v>498</v>
      </c>
      <c r="C35" s="424">
        <f t="shared" si="4"/>
        <v>674378</v>
      </c>
      <c r="D35" s="424">
        <v>344291</v>
      </c>
      <c r="E35" s="424">
        <v>311109</v>
      </c>
      <c r="F35" s="424">
        <v>18978</v>
      </c>
      <c r="G35" s="421">
        <f>M35+L35+K35+J35+I35+H35</f>
        <v>577736.02751199994</v>
      </c>
      <c r="H35" s="421">
        <v>310561.569471</v>
      </c>
      <c r="I35" s="421">
        <v>251769.12454600001</v>
      </c>
      <c r="J35" s="421"/>
      <c r="K35" s="421"/>
      <c r="L35" s="421"/>
      <c r="M35" s="421">
        <f t="shared" si="6"/>
        <v>15405.333495000001</v>
      </c>
      <c r="N35" s="424">
        <v>15405.333495000001</v>
      </c>
      <c r="O35" s="421"/>
      <c r="P35" s="421">
        <v>40856.062619999997</v>
      </c>
      <c r="Q35" s="421"/>
      <c r="R35" s="421"/>
      <c r="S35" s="421"/>
    </row>
    <row r="36" spans="1:22" ht="45.75" customHeight="1">
      <c r="A36" s="422">
        <v>23</v>
      </c>
      <c r="B36" s="423" t="s">
        <v>499</v>
      </c>
      <c r="C36" s="424">
        <f t="shared" si="4"/>
        <v>867566.47971099999</v>
      </c>
      <c r="D36" s="424">
        <v>133900</v>
      </c>
      <c r="E36" s="424">
        <v>524615.47971099999</v>
      </c>
      <c r="F36" s="424">
        <v>209051</v>
      </c>
      <c r="G36" s="421">
        <f t="shared" si="5"/>
        <v>611519.85208899993</v>
      </c>
      <c r="H36" s="421">
        <v>84282.419500000004</v>
      </c>
      <c r="I36" s="421">
        <v>402291.88588000002</v>
      </c>
      <c r="J36" s="421"/>
      <c r="K36" s="421"/>
      <c r="L36" s="421"/>
      <c r="M36" s="421">
        <f t="shared" si="6"/>
        <v>124945.546709</v>
      </c>
      <c r="N36" s="424">
        <v>124945.546709</v>
      </c>
      <c r="O36" s="421"/>
      <c r="P36" s="421">
        <f>88718.456327</f>
        <v>88718.456327000007</v>
      </c>
      <c r="Q36" s="421"/>
      <c r="R36" s="421"/>
      <c r="S36" s="421"/>
      <c r="T36" s="586"/>
      <c r="V36" s="578"/>
    </row>
    <row r="37" spans="1:22" ht="45.75" customHeight="1">
      <c r="A37" s="422">
        <v>24</v>
      </c>
      <c r="B37" s="423" t="s">
        <v>500</v>
      </c>
      <c r="C37" s="424">
        <f t="shared" si="4"/>
        <v>617018</v>
      </c>
      <c r="D37" s="424">
        <v>106064</v>
      </c>
      <c r="E37" s="424">
        <v>491061</v>
      </c>
      <c r="F37" s="424">
        <v>19893</v>
      </c>
      <c r="G37" s="421">
        <f t="shared" si="5"/>
        <v>576263.57696800004</v>
      </c>
      <c r="H37" s="421">
        <v>105488.447889</v>
      </c>
      <c r="I37" s="421">
        <v>457676.19040100003</v>
      </c>
      <c r="J37" s="421"/>
      <c r="K37" s="421"/>
      <c r="L37" s="421"/>
      <c r="M37" s="421">
        <f t="shared" si="6"/>
        <v>13098.938678</v>
      </c>
      <c r="N37" s="424">
        <v>13098.938678</v>
      </c>
      <c r="O37" s="421"/>
      <c r="P37" s="421">
        <v>23088.920764999999</v>
      </c>
      <c r="Q37" s="421"/>
      <c r="R37" s="421"/>
      <c r="S37" s="421"/>
    </row>
    <row r="38" spans="1:22" ht="45.75" customHeight="1">
      <c r="A38" s="422">
        <v>25</v>
      </c>
      <c r="B38" s="423" t="s">
        <v>501</v>
      </c>
      <c r="C38" s="424">
        <f t="shared" si="4"/>
        <v>519760.79599999997</v>
      </c>
      <c r="D38" s="424">
        <v>88000</v>
      </c>
      <c r="E38" s="424">
        <v>302185.79599999997</v>
      </c>
      <c r="F38" s="424">
        <v>129575</v>
      </c>
      <c r="G38" s="421">
        <f t="shared" si="5"/>
        <v>458242.805796</v>
      </c>
      <c r="H38" s="421">
        <v>104210.39866000001</v>
      </c>
      <c r="I38" s="421">
        <v>261777.26532000001</v>
      </c>
      <c r="J38" s="421"/>
      <c r="K38" s="421"/>
      <c r="L38" s="421"/>
      <c r="M38" s="421">
        <f t="shared" si="6"/>
        <v>92255.141816000003</v>
      </c>
      <c r="N38" s="424">
        <v>92255.141816000003</v>
      </c>
      <c r="O38" s="421"/>
      <c r="P38" s="421">
        <v>29396.212156000001</v>
      </c>
      <c r="Q38" s="421"/>
      <c r="R38" s="421"/>
      <c r="S38" s="421"/>
    </row>
    <row r="39" spans="1:22" ht="45.75" customHeight="1">
      <c r="A39" s="422">
        <v>26</v>
      </c>
      <c r="B39" s="423" t="s">
        <v>502</v>
      </c>
      <c r="C39" s="424">
        <f t="shared" si="4"/>
        <v>654541.36100000003</v>
      </c>
      <c r="D39" s="424">
        <v>115302</v>
      </c>
      <c r="E39" s="424">
        <v>534667.36100000003</v>
      </c>
      <c r="F39" s="424">
        <v>4572</v>
      </c>
      <c r="G39" s="421">
        <f t="shared" si="5"/>
        <v>570896.70623899996</v>
      </c>
      <c r="H39" s="421">
        <v>121927.154194</v>
      </c>
      <c r="I39" s="421">
        <v>444469.55204500002</v>
      </c>
      <c r="J39" s="421"/>
      <c r="K39" s="421"/>
      <c r="L39" s="421"/>
      <c r="M39" s="421">
        <f t="shared" si="6"/>
        <v>4500</v>
      </c>
      <c r="N39" s="424">
        <v>4500</v>
      </c>
      <c r="O39" s="421"/>
      <c r="P39" s="421">
        <v>6795.0239499999998</v>
      </c>
      <c r="Q39" s="421"/>
      <c r="R39" s="421"/>
      <c r="S39" s="421"/>
    </row>
    <row r="40" spans="1:22" ht="45.75" customHeight="1">
      <c r="A40" s="422">
        <v>27</v>
      </c>
      <c r="B40" s="423" t="s">
        <v>503</v>
      </c>
      <c r="C40" s="424">
        <f t="shared" si="4"/>
        <v>524880.5</v>
      </c>
      <c r="D40" s="424">
        <v>143384</v>
      </c>
      <c r="E40" s="424">
        <v>350707</v>
      </c>
      <c r="F40" s="424">
        <v>30789.5</v>
      </c>
      <c r="G40" s="421">
        <f t="shared" si="5"/>
        <v>417592.80769399996</v>
      </c>
      <c r="H40" s="421">
        <v>108192.73384</v>
      </c>
      <c r="I40" s="421">
        <v>285183.28813399997</v>
      </c>
      <c r="J40" s="421"/>
      <c r="K40" s="421"/>
      <c r="L40" s="421"/>
      <c r="M40" s="421">
        <f t="shared" si="6"/>
        <v>24216.78572</v>
      </c>
      <c r="N40" s="424">
        <v>24216.78572</v>
      </c>
      <c r="O40" s="421"/>
      <c r="P40" s="421">
        <v>14714.365431</v>
      </c>
      <c r="Q40" s="421"/>
      <c r="R40" s="421"/>
      <c r="S40" s="421"/>
    </row>
    <row r="41" spans="1:22" ht="45.75" customHeight="1">
      <c r="A41" s="422">
        <v>28</v>
      </c>
      <c r="B41" s="423" t="s">
        <v>504</v>
      </c>
      <c r="C41" s="424">
        <f>D41+F41+E41</f>
        <v>458594.41341799998</v>
      </c>
      <c r="D41" s="424">
        <v>111925</v>
      </c>
      <c r="E41" s="424">
        <v>228607.91341800001</v>
      </c>
      <c r="F41" s="424">
        <v>118061.5</v>
      </c>
      <c r="G41" s="421">
        <f>M41+L41+K41+J41+I41+H41</f>
        <v>345118.50252700003</v>
      </c>
      <c r="H41" s="421">
        <v>115286.400192</v>
      </c>
      <c r="I41" s="421">
        <v>174744.56711999999</v>
      </c>
      <c r="J41" s="421"/>
      <c r="K41" s="421"/>
      <c r="L41" s="421"/>
      <c r="M41" s="421">
        <f t="shared" si="6"/>
        <v>55087.535215000004</v>
      </c>
      <c r="N41" s="424">
        <v>55087.535215000004</v>
      </c>
      <c r="O41" s="421"/>
      <c r="P41" s="421">
        <v>67995.057459000003</v>
      </c>
      <c r="Q41" s="421"/>
      <c r="R41" s="421"/>
      <c r="S41" s="421"/>
      <c r="V41" s="578"/>
    </row>
    <row r="42" spans="1:22" ht="45.75" customHeight="1">
      <c r="A42" s="422">
        <v>29</v>
      </c>
      <c r="B42" s="423" t="s">
        <v>505</v>
      </c>
      <c r="C42" s="424">
        <f t="shared" si="4"/>
        <v>485256.37426800001</v>
      </c>
      <c r="D42" s="424">
        <v>123000</v>
      </c>
      <c r="E42" s="424">
        <v>306815.37426800001</v>
      </c>
      <c r="F42" s="424">
        <v>55441</v>
      </c>
      <c r="G42" s="421">
        <f>M42+L42+K42+J42+I42+H42</f>
        <v>353485.72323599999</v>
      </c>
      <c r="H42" s="421">
        <v>92120.057000000001</v>
      </c>
      <c r="I42" s="421">
        <v>221443.23989999999</v>
      </c>
      <c r="J42" s="421"/>
      <c r="K42" s="421"/>
      <c r="L42" s="421"/>
      <c r="M42" s="421">
        <f t="shared" si="6"/>
        <v>39922.426335999997</v>
      </c>
      <c r="N42" s="424">
        <v>39922.426335999997</v>
      </c>
      <c r="O42" s="421"/>
      <c r="P42" s="421">
        <v>56350.786064</v>
      </c>
      <c r="Q42" s="421"/>
      <c r="R42" s="421"/>
      <c r="S42" s="421"/>
    </row>
    <row r="43" spans="1:22" ht="89.25" customHeight="1">
      <c r="A43" s="428">
        <v>30</v>
      </c>
      <c r="B43" s="560" t="s">
        <v>579</v>
      </c>
      <c r="C43" s="430"/>
      <c r="D43" s="430"/>
      <c r="E43" s="430"/>
      <c r="F43" s="430"/>
      <c r="G43" s="429">
        <v>11243.651018999517</v>
      </c>
      <c r="H43" s="429">
        <f>G43</f>
        <v>11243.651018999517</v>
      </c>
      <c r="I43" s="429"/>
      <c r="J43" s="429"/>
      <c r="K43" s="429"/>
      <c r="L43" s="429"/>
      <c r="M43" s="429"/>
      <c r="N43" s="430"/>
      <c r="O43" s="429"/>
      <c r="P43" s="429"/>
      <c r="Q43" s="429"/>
      <c r="R43" s="429"/>
      <c r="S43" s="429"/>
    </row>
    <row r="45" spans="1:22">
      <c r="B45" s="406"/>
    </row>
    <row r="46" spans="1:22" s="578" customFormat="1">
      <c r="A46" s="416"/>
      <c r="B46" s="416"/>
      <c r="C46" s="426"/>
      <c r="D46" s="426"/>
      <c r="E46" s="426"/>
      <c r="F46" s="426"/>
      <c r="G46" s="416"/>
      <c r="H46" s="416"/>
      <c r="I46" s="416"/>
      <c r="J46" s="416"/>
      <c r="K46" s="416"/>
      <c r="L46" s="416"/>
      <c r="M46" s="416"/>
      <c r="N46" s="426"/>
      <c r="O46" s="416"/>
      <c r="P46" s="416"/>
      <c r="Q46" s="416"/>
      <c r="R46" s="416"/>
      <c r="S46" s="416"/>
    </row>
    <row r="47" spans="1:22">
      <c r="A47" s="579"/>
      <c r="B47" s="579"/>
      <c r="C47" s="426"/>
      <c r="D47" s="426"/>
      <c r="G47" s="416"/>
      <c r="P47" s="416"/>
      <c r="Q47" s="579"/>
      <c r="R47" s="579"/>
      <c r="S47" s="579"/>
      <c r="T47" s="579"/>
      <c r="U47" s="579"/>
    </row>
    <row r="48" spans="1:22">
      <c r="A48" s="579"/>
      <c r="B48" s="579"/>
      <c r="D48" s="426"/>
      <c r="Q48" s="579"/>
      <c r="R48" s="579"/>
      <c r="S48" s="579"/>
      <c r="T48" s="579"/>
      <c r="U48" s="579"/>
    </row>
  </sheetData>
  <mergeCells count="25">
    <mergeCell ref="H7:H10"/>
    <mergeCell ref="I7:I10"/>
    <mergeCell ref="J7:J10"/>
    <mergeCell ref="K7:K10"/>
    <mergeCell ref="C7:C10"/>
    <mergeCell ref="D7:D10"/>
    <mergeCell ref="E7:E10"/>
    <mergeCell ref="F7:F10"/>
    <mergeCell ref="G7:G10"/>
    <mergeCell ref="A3:S3"/>
    <mergeCell ref="A4:S4"/>
    <mergeCell ref="B6:B10"/>
    <mergeCell ref="C6:F6"/>
    <mergeCell ref="G6:P6"/>
    <mergeCell ref="Q6:S6"/>
    <mergeCell ref="M7:O7"/>
    <mergeCell ref="M8:M10"/>
    <mergeCell ref="N8:N10"/>
    <mergeCell ref="O8:O10"/>
    <mergeCell ref="P7:P10"/>
    <mergeCell ref="Q7:Q10"/>
    <mergeCell ref="R7:R10"/>
    <mergeCell ref="S7:S10"/>
    <mergeCell ref="L7:L10"/>
    <mergeCell ref="A6:A10"/>
  </mergeCells>
  <printOptions horizontalCentered="1"/>
  <pageMargins left="0.2" right="0.23" top="0.56999999999999995" bottom="0.33" header="0.36" footer="0.17"/>
  <pageSetup paperSize="9" scale="49" fitToHeight="5" orientation="landscape" r:id="rId1"/>
  <headerFooter alignWithMargins="0">
    <oddHeader xml:space="preserve">&amp;C&amp;"Times New Roman,Regular"58                 &amp;".VnTime,Regular"                                                                                                                 </oddHeader>
    <oddFooter>&amp;C&amp;".VnTime,Italic"&amp;8</oddFooter>
  </headerFooter>
  <colBreaks count="1" manualBreakCount="1">
    <brk id="19" max="38"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4"/>
  <sheetViews>
    <sheetView zoomScale="50" zoomScaleNormal="50" workbookViewId="0">
      <selection activeCell="A4" sqref="A4:U4"/>
    </sheetView>
  </sheetViews>
  <sheetFormatPr defaultRowHeight="18.75"/>
  <cols>
    <col min="1" max="1" width="10.75" style="361" customWidth="1"/>
    <col min="2" max="2" width="54.75" style="361" customWidth="1"/>
    <col min="3" max="3" width="18.375" style="359" customWidth="1"/>
    <col min="4" max="4" width="16.375" style="359" customWidth="1"/>
    <col min="5" max="5" width="19.875" style="359" customWidth="1"/>
    <col min="6" max="6" width="9.5" style="359" customWidth="1"/>
    <col min="7" max="7" width="19.375" style="359" customWidth="1"/>
    <col min="8" max="8" width="16.5" style="359" bestFit="1" customWidth="1"/>
    <col min="9" max="9" width="19.25" style="359" customWidth="1"/>
    <col min="10" max="10" width="9.5" style="359" customWidth="1"/>
    <col min="11" max="11" width="16.375" style="359" customWidth="1"/>
    <col min="12" max="13" width="9.5" style="359" customWidth="1"/>
    <col min="14" max="14" width="12.75" style="359" customWidth="1"/>
    <col min="15" max="15" width="9.5" style="359" customWidth="1"/>
    <col min="16" max="16" width="12.5" style="359" customWidth="1"/>
    <col min="17" max="17" width="17.25" style="359" customWidth="1"/>
    <col min="18" max="18" width="12.75" style="359" customWidth="1"/>
    <col min="19" max="19" width="11.125" style="359" customWidth="1"/>
    <col min="20" max="20" width="11.625" style="359" customWidth="1"/>
    <col min="21" max="21" width="11.125" style="361" customWidth="1"/>
    <col min="22" max="16384" width="9" style="361"/>
  </cols>
  <sheetData>
    <row r="1" spans="1:21" s="360" customFormat="1" ht="32.25" customHeight="1">
      <c r="A1" s="358" t="str">
        <f>[5]PL5840!A1:D1</f>
        <v>ỦY BAN NHÂN DÂN TỈNH BÌNH PHƯỚC</v>
      </c>
      <c r="B1" s="358"/>
      <c r="C1" s="504"/>
      <c r="D1" s="504"/>
      <c r="E1" s="504"/>
      <c r="F1" s="359"/>
      <c r="G1" s="359"/>
      <c r="H1" s="504"/>
      <c r="I1" s="504"/>
      <c r="J1" s="359"/>
      <c r="K1" s="359"/>
      <c r="L1" s="359"/>
      <c r="M1" s="359"/>
      <c r="N1" s="359"/>
      <c r="O1" s="359"/>
      <c r="P1" s="359"/>
      <c r="Q1" s="359"/>
      <c r="R1" s="804" t="s">
        <v>429</v>
      </c>
      <c r="S1" s="804"/>
      <c r="T1" s="804"/>
      <c r="U1" s="804"/>
    </row>
    <row r="2" spans="1:21" s="360" customFormat="1" ht="32.25" customHeight="1">
      <c r="A2" s="358"/>
      <c r="B2" s="358"/>
      <c r="C2" s="504"/>
      <c r="D2" s="504"/>
      <c r="E2" s="504"/>
      <c r="F2" s="359"/>
      <c r="G2" s="359"/>
      <c r="H2" s="504"/>
      <c r="I2" s="504"/>
      <c r="J2" s="359"/>
      <c r="K2" s="359"/>
      <c r="L2" s="359"/>
      <c r="M2" s="359"/>
      <c r="N2" s="359"/>
      <c r="O2" s="359"/>
      <c r="P2" s="359"/>
      <c r="Q2" s="359"/>
      <c r="R2" s="505"/>
      <c r="S2" s="505"/>
      <c r="T2" s="505"/>
      <c r="U2" s="505"/>
    </row>
    <row r="3" spans="1:21" s="360" customFormat="1" ht="33" customHeight="1">
      <c r="A3" s="805" t="s">
        <v>516</v>
      </c>
      <c r="B3" s="805"/>
      <c r="C3" s="805"/>
      <c r="D3" s="805"/>
      <c r="E3" s="805"/>
      <c r="F3" s="805"/>
      <c r="G3" s="805"/>
      <c r="H3" s="805"/>
      <c r="I3" s="805"/>
      <c r="J3" s="805"/>
      <c r="K3" s="805"/>
      <c r="L3" s="805"/>
      <c r="M3" s="805"/>
      <c r="N3" s="805"/>
      <c r="O3" s="805"/>
      <c r="P3" s="805"/>
      <c r="Q3" s="805"/>
      <c r="R3" s="805"/>
      <c r="S3" s="805"/>
      <c r="T3" s="805"/>
      <c r="U3" s="805"/>
    </row>
    <row r="4" spans="1:21" s="360" customFormat="1" ht="33" customHeight="1">
      <c r="A4" s="726" t="str">
        <f>+'PL5439 (ĐT)'!A4:S4</f>
        <v>(Kèm theo Nghị quyết số:         /NQ-HĐND ngày      tháng  12  năm 2023 của Hội đồng nhân dân tỉnh)</v>
      </c>
      <c r="B4" s="726"/>
      <c r="C4" s="726"/>
      <c r="D4" s="726"/>
      <c r="E4" s="726"/>
      <c r="F4" s="726"/>
      <c r="G4" s="726"/>
      <c r="H4" s="726"/>
      <c r="I4" s="726"/>
      <c r="J4" s="726"/>
      <c r="K4" s="726"/>
      <c r="L4" s="726"/>
      <c r="M4" s="726"/>
      <c r="N4" s="726"/>
      <c r="O4" s="726"/>
      <c r="P4" s="726"/>
      <c r="Q4" s="726"/>
      <c r="R4" s="726"/>
      <c r="S4" s="726"/>
      <c r="T4" s="726"/>
      <c r="U4" s="726"/>
    </row>
    <row r="5" spans="1:21" s="360" customFormat="1" ht="33" customHeight="1">
      <c r="A5" s="511"/>
      <c r="B5" s="512"/>
      <c r="C5" s="513"/>
      <c r="D5" s="513"/>
      <c r="E5" s="513"/>
      <c r="F5" s="513"/>
      <c r="G5" s="513"/>
      <c r="H5" s="514"/>
      <c r="I5" s="514"/>
      <c r="J5" s="513"/>
      <c r="K5" s="515"/>
      <c r="L5" s="513"/>
      <c r="M5" s="513"/>
      <c r="N5" s="513"/>
      <c r="O5" s="513"/>
      <c r="P5" s="513"/>
      <c r="Q5" s="806" t="s">
        <v>441</v>
      </c>
      <c r="R5" s="806"/>
      <c r="S5" s="806"/>
      <c r="T5" s="806"/>
      <c r="U5" s="806"/>
    </row>
    <row r="6" spans="1:21" s="360" customFormat="1" ht="36" customHeight="1">
      <c r="A6" s="807" t="s">
        <v>264</v>
      </c>
      <c r="B6" s="811" t="s">
        <v>270</v>
      </c>
      <c r="C6" s="812" t="s">
        <v>144</v>
      </c>
      <c r="D6" s="815" t="s">
        <v>274</v>
      </c>
      <c r="E6" s="815"/>
      <c r="F6" s="815"/>
      <c r="G6" s="815"/>
      <c r="H6" s="815"/>
      <c r="I6" s="817" t="s">
        <v>238</v>
      </c>
      <c r="J6" s="818"/>
      <c r="K6" s="818"/>
      <c r="L6" s="818"/>
      <c r="M6" s="818"/>
      <c r="N6" s="818"/>
      <c r="O6" s="818"/>
      <c r="P6" s="818"/>
      <c r="Q6" s="807" t="s">
        <v>537</v>
      </c>
      <c r="R6" s="821" t="s">
        <v>239</v>
      </c>
      <c r="S6" s="822"/>
      <c r="T6" s="822"/>
      <c r="U6" s="823"/>
    </row>
    <row r="7" spans="1:21" ht="30" customHeight="1">
      <c r="A7" s="808"/>
      <c r="B7" s="809"/>
      <c r="C7" s="813"/>
      <c r="D7" s="812" t="s">
        <v>341</v>
      </c>
      <c r="E7" s="827" t="s">
        <v>300</v>
      </c>
      <c r="F7" s="827"/>
      <c r="G7" s="827"/>
      <c r="H7" s="827"/>
      <c r="I7" s="819"/>
      <c r="J7" s="820"/>
      <c r="K7" s="820"/>
      <c r="L7" s="820"/>
      <c r="M7" s="820"/>
      <c r="N7" s="820"/>
      <c r="O7" s="820"/>
      <c r="P7" s="820"/>
      <c r="Q7" s="808"/>
      <c r="R7" s="824"/>
      <c r="S7" s="825"/>
      <c r="T7" s="825"/>
      <c r="U7" s="826"/>
    </row>
    <row r="8" spans="1:21" ht="30" customHeight="1">
      <c r="A8" s="809"/>
      <c r="B8" s="809"/>
      <c r="C8" s="813"/>
      <c r="D8" s="813"/>
      <c r="E8" s="827" t="s">
        <v>144</v>
      </c>
      <c r="F8" s="827" t="s">
        <v>265</v>
      </c>
      <c r="G8" s="827" t="s">
        <v>266</v>
      </c>
      <c r="H8" s="827" t="s">
        <v>342</v>
      </c>
      <c r="I8" s="807" t="s">
        <v>144</v>
      </c>
      <c r="J8" s="807" t="s">
        <v>265</v>
      </c>
      <c r="K8" s="807" t="s">
        <v>266</v>
      </c>
      <c r="L8" s="807" t="s">
        <v>267</v>
      </c>
      <c r="M8" s="807" t="s">
        <v>252</v>
      </c>
      <c r="N8" s="830" t="s">
        <v>268</v>
      </c>
      <c r="O8" s="831"/>
      <c r="P8" s="831"/>
      <c r="Q8" s="808"/>
      <c r="R8" s="807" t="s">
        <v>144</v>
      </c>
      <c r="S8" s="807" t="s">
        <v>167</v>
      </c>
      <c r="T8" s="807" t="s">
        <v>154</v>
      </c>
      <c r="U8" s="807" t="s">
        <v>268</v>
      </c>
    </row>
    <row r="9" spans="1:21" ht="45" customHeight="1">
      <c r="A9" s="809"/>
      <c r="B9" s="809"/>
      <c r="C9" s="813"/>
      <c r="D9" s="813"/>
      <c r="E9" s="827"/>
      <c r="F9" s="827"/>
      <c r="G9" s="827"/>
      <c r="H9" s="827"/>
      <c r="I9" s="808"/>
      <c r="J9" s="808"/>
      <c r="K9" s="808"/>
      <c r="L9" s="808"/>
      <c r="M9" s="808"/>
      <c r="N9" s="807" t="s">
        <v>144</v>
      </c>
      <c r="O9" s="807" t="s">
        <v>167</v>
      </c>
      <c r="P9" s="817" t="s">
        <v>154</v>
      </c>
      <c r="Q9" s="808"/>
      <c r="R9" s="808"/>
      <c r="S9" s="808"/>
      <c r="T9" s="808"/>
      <c r="U9" s="808"/>
    </row>
    <row r="10" spans="1:21" ht="138" customHeight="1">
      <c r="A10" s="809"/>
      <c r="B10" s="809"/>
      <c r="C10" s="813"/>
      <c r="D10" s="813"/>
      <c r="E10" s="827"/>
      <c r="F10" s="827"/>
      <c r="G10" s="827"/>
      <c r="H10" s="827"/>
      <c r="I10" s="808"/>
      <c r="J10" s="808"/>
      <c r="K10" s="808"/>
      <c r="L10" s="808"/>
      <c r="M10" s="808"/>
      <c r="N10" s="808"/>
      <c r="O10" s="808"/>
      <c r="P10" s="829"/>
      <c r="Q10" s="808"/>
      <c r="R10" s="808"/>
      <c r="S10" s="808"/>
      <c r="T10" s="808"/>
      <c r="U10" s="808"/>
    </row>
    <row r="11" spans="1:21" ht="45" hidden="1" customHeight="1">
      <c r="A11" s="810"/>
      <c r="B11" s="810"/>
      <c r="C11" s="814"/>
      <c r="D11" s="814"/>
      <c r="E11" s="827"/>
      <c r="F11" s="827"/>
      <c r="G11" s="827"/>
      <c r="H11" s="827"/>
      <c r="I11" s="816"/>
      <c r="J11" s="816"/>
      <c r="K11" s="816"/>
      <c r="L11" s="816"/>
      <c r="M11" s="816"/>
      <c r="N11" s="816"/>
      <c r="O11" s="816"/>
      <c r="P11" s="819"/>
      <c r="Q11" s="816"/>
      <c r="R11" s="816"/>
      <c r="S11" s="816"/>
      <c r="T11" s="816"/>
      <c r="U11" s="816"/>
    </row>
    <row r="12" spans="1:21" ht="39" customHeight="1">
      <c r="A12" s="561" t="s">
        <v>1</v>
      </c>
      <c r="B12" s="517" t="s">
        <v>2</v>
      </c>
      <c r="C12" s="517" t="s">
        <v>343</v>
      </c>
      <c r="D12" s="517">
        <v>2</v>
      </c>
      <c r="E12" s="561">
        <v>3</v>
      </c>
      <c r="F12" s="561">
        <v>4</v>
      </c>
      <c r="G12" s="561">
        <v>5</v>
      </c>
      <c r="H12" s="561">
        <v>6</v>
      </c>
      <c r="I12" s="561">
        <f t="shared" ref="I12:Q12" si="0">H12+1</f>
        <v>7</v>
      </c>
      <c r="J12" s="561">
        <f t="shared" si="0"/>
        <v>8</v>
      </c>
      <c r="K12" s="561">
        <f t="shared" si="0"/>
        <v>9</v>
      </c>
      <c r="L12" s="561">
        <f t="shared" si="0"/>
        <v>10</v>
      </c>
      <c r="M12" s="561">
        <f t="shared" si="0"/>
        <v>11</v>
      </c>
      <c r="N12" s="561">
        <f t="shared" si="0"/>
        <v>12</v>
      </c>
      <c r="O12" s="561">
        <f t="shared" si="0"/>
        <v>13</v>
      </c>
      <c r="P12" s="561">
        <f t="shared" si="0"/>
        <v>14</v>
      </c>
      <c r="Q12" s="561">
        <f t="shared" si="0"/>
        <v>15</v>
      </c>
      <c r="R12" s="518" t="s">
        <v>344</v>
      </c>
      <c r="S12" s="518" t="s">
        <v>345</v>
      </c>
      <c r="T12" s="561" t="s">
        <v>346</v>
      </c>
      <c r="U12" s="518" t="s">
        <v>347</v>
      </c>
    </row>
    <row r="13" spans="1:21" s="362" customFormat="1" ht="36.75" customHeight="1">
      <c r="A13" s="828" t="s">
        <v>271</v>
      </c>
      <c r="B13" s="828"/>
      <c r="C13" s="519">
        <f>C14+C60+C66+C77+C79+C86+C88+C93+C59+C141</f>
        <v>2229357.6633609999</v>
      </c>
      <c r="D13" s="519">
        <f t="shared" ref="D13:Q13" si="1">D14+D60+D66+D77+D79+D86+D88+D93+D59+D141</f>
        <v>175603.338361</v>
      </c>
      <c r="E13" s="519">
        <f t="shared" si="1"/>
        <v>2053754.325</v>
      </c>
      <c r="F13" s="519">
        <f t="shared" si="1"/>
        <v>0</v>
      </c>
      <c r="G13" s="519">
        <f t="shared" si="1"/>
        <v>2007838.325</v>
      </c>
      <c r="H13" s="519">
        <f t="shared" si="1"/>
        <v>45916</v>
      </c>
      <c r="I13" s="519">
        <f>I14+I60+I66+I77+I79+I86+I88+I93+I59+I141</f>
        <v>1642032.4751190001</v>
      </c>
      <c r="J13" s="519">
        <f t="shared" si="1"/>
        <v>0</v>
      </c>
      <c r="K13" s="519">
        <f t="shared" si="1"/>
        <v>1640520.415119</v>
      </c>
      <c r="L13" s="519">
        <f t="shared" si="1"/>
        <v>0</v>
      </c>
      <c r="M13" s="519">
        <f t="shared" si="1"/>
        <v>0</v>
      </c>
      <c r="N13" s="519">
        <f t="shared" si="1"/>
        <v>1512.06</v>
      </c>
      <c r="O13" s="519">
        <f t="shared" si="1"/>
        <v>0</v>
      </c>
      <c r="P13" s="519">
        <f t="shared" si="1"/>
        <v>1512.06</v>
      </c>
      <c r="Q13" s="519">
        <f t="shared" si="1"/>
        <v>128590.84020400001</v>
      </c>
      <c r="R13" s="520">
        <f>+I13/C13*100</f>
        <v>73.654959099001502</v>
      </c>
      <c r="S13" s="521">
        <v>0</v>
      </c>
      <c r="T13" s="520">
        <f>(K13+Q13)/(D13+G13)*100</f>
        <v>81.023976276049638</v>
      </c>
      <c r="U13" s="530">
        <f>+N13/H13*100</f>
        <v>3.2931004442895722</v>
      </c>
    </row>
    <row r="14" spans="1:21" ht="33" customHeight="1">
      <c r="A14" s="523" t="s">
        <v>86</v>
      </c>
      <c r="B14" s="522" t="s">
        <v>348</v>
      </c>
      <c r="C14" s="519">
        <f>+C15+C17+C25+C30+C32</f>
        <v>399158.61141800001</v>
      </c>
      <c r="D14" s="519">
        <f t="shared" ref="D14:Q14" si="2">+D15+D17+D25+D30+D32</f>
        <v>4904.6114180000004</v>
      </c>
      <c r="E14" s="519">
        <f t="shared" si="2"/>
        <v>394254</v>
      </c>
      <c r="F14" s="519">
        <f t="shared" si="2"/>
        <v>0</v>
      </c>
      <c r="G14" s="519">
        <f t="shared" si="2"/>
        <v>390254</v>
      </c>
      <c r="H14" s="519">
        <f t="shared" si="2"/>
        <v>4000</v>
      </c>
      <c r="I14" s="519">
        <f>+I15+I17+I25+I30+I32</f>
        <v>254458.981417</v>
      </c>
      <c r="J14" s="519">
        <f t="shared" si="2"/>
        <v>0</v>
      </c>
      <c r="K14" s="519">
        <f>+K15+K17+K25+K30+K32</f>
        <v>254458.981417</v>
      </c>
      <c r="L14" s="519">
        <f t="shared" si="2"/>
        <v>0</v>
      </c>
      <c r="M14" s="519">
        <f t="shared" si="2"/>
        <v>0</v>
      </c>
      <c r="N14" s="519">
        <f t="shared" si="2"/>
        <v>0</v>
      </c>
      <c r="O14" s="519">
        <f t="shared" si="2"/>
        <v>0</v>
      </c>
      <c r="P14" s="519">
        <f t="shared" si="2"/>
        <v>0</v>
      </c>
      <c r="Q14" s="519">
        <f t="shared" si="2"/>
        <v>3173.326</v>
      </c>
      <c r="R14" s="520">
        <f>I14/C14*100</f>
        <v>63.748839217834096</v>
      </c>
      <c r="S14" s="521"/>
      <c r="T14" s="520">
        <f>(K14+Q14)/(G14+D14)*100</f>
        <v>65.197189172343698</v>
      </c>
      <c r="U14" s="530">
        <f t="shared" ref="U14" si="3">+N14/H14*100</f>
        <v>0</v>
      </c>
    </row>
    <row r="15" spans="1:21" s="358" customFormat="1" ht="33" customHeight="1">
      <c r="A15" s="523" t="s">
        <v>349</v>
      </c>
      <c r="B15" s="522" t="s">
        <v>350</v>
      </c>
      <c r="C15" s="519">
        <f>C16</f>
        <v>9451</v>
      </c>
      <c r="D15" s="519">
        <f>D16</f>
        <v>93</v>
      </c>
      <c r="E15" s="519">
        <f t="shared" ref="E15:Q15" si="4">E16</f>
        <v>9358</v>
      </c>
      <c r="F15" s="519">
        <f t="shared" si="4"/>
        <v>0</v>
      </c>
      <c r="G15" s="519">
        <f t="shared" si="4"/>
        <v>9358</v>
      </c>
      <c r="H15" s="519">
        <f t="shared" si="4"/>
        <v>0</v>
      </c>
      <c r="I15" s="519">
        <f t="shared" si="4"/>
        <v>8518</v>
      </c>
      <c r="J15" s="519">
        <f t="shared" si="4"/>
        <v>0</v>
      </c>
      <c r="K15" s="519">
        <f t="shared" si="4"/>
        <v>8518</v>
      </c>
      <c r="L15" s="519">
        <f t="shared" si="4"/>
        <v>0</v>
      </c>
      <c r="M15" s="519">
        <f t="shared" si="4"/>
        <v>0</v>
      </c>
      <c r="N15" s="519">
        <f t="shared" si="4"/>
        <v>0</v>
      </c>
      <c r="O15" s="519">
        <f t="shared" si="4"/>
        <v>0</v>
      </c>
      <c r="P15" s="519">
        <f t="shared" si="4"/>
        <v>0</v>
      </c>
      <c r="Q15" s="519">
        <f t="shared" si="4"/>
        <v>0</v>
      </c>
      <c r="R15" s="520">
        <f t="shared" ref="R15:R76" si="5">I15/C15*100</f>
        <v>90.128028780023271</v>
      </c>
      <c r="S15" s="521"/>
      <c r="T15" s="520">
        <f>(K15+Q15)/(G15+D15)*100</f>
        <v>90.128028780023271</v>
      </c>
      <c r="U15" s="530"/>
    </row>
    <row r="16" spans="1:21" s="358" customFormat="1" ht="33" customHeight="1">
      <c r="A16" s="524">
        <v>1</v>
      </c>
      <c r="B16" s="525" t="s">
        <v>351</v>
      </c>
      <c r="C16" s="526">
        <f>D16+E16</f>
        <v>9451</v>
      </c>
      <c r="D16" s="526">
        <v>93</v>
      </c>
      <c r="E16" s="526">
        <f>F16+G16+H16</f>
        <v>9358</v>
      </c>
      <c r="F16" s="526"/>
      <c r="G16" s="526">
        <v>9358</v>
      </c>
      <c r="H16" s="526">
        <v>0</v>
      </c>
      <c r="I16" s="526">
        <f>J16+K16+L16+M16+N16</f>
        <v>8518</v>
      </c>
      <c r="J16" s="526"/>
      <c r="K16" s="526">
        <v>8518</v>
      </c>
      <c r="L16" s="526"/>
      <c r="M16" s="526"/>
      <c r="N16" s="526">
        <f>O16+P16</f>
        <v>0</v>
      </c>
      <c r="O16" s="526"/>
      <c r="P16" s="526">
        <v>0</v>
      </c>
      <c r="Q16" s="526"/>
      <c r="R16" s="527">
        <f>I16/C16*100</f>
        <v>90.128028780023271</v>
      </c>
      <c r="S16" s="528"/>
      <c r="T16" s="527">
        <f>(K16+Q16)/(D16+G16)*100</f>
        <v>90.128028780023271</v>
      </c>
      <c r="U16" s="529">
        <v>0</v>
      </c>
    </row>
    <row r="17" spans="1:21" s="358" customFormat="1" ht="33" customHeight="1">
      <c r="A17" s="523" t="s">
        <v>352</v>
      </c>
      <c r="B17" s="522" t="s">
        <v>353</v>
      </c>
      <c r="C17" s="519">
        <f>+D17+E17</f>
        <v>47257</v>
      </c>
      <c r="D17" s="519">
        <f>SUM(D18:D24)</f>
        <v>966</v>
      </c>
      <c r="E17" s="519">
        <f t="shared" ref="E17:Q17" si="6">SUM(E18:E24)</f>
        <v>46291</v>
      </c>
      <c r="F17" s="519">
        <f t="shared" si="6"/>
        <v>0</v>
      </c>
      <c r="G17" s="519">
        <f t="shared" si="6"/>
        <v>42291</v>
      </c>
      <c r="H17" s="519">
        <f t="shared" si="6"/>
        <v>4000</v>
      </c>
      <c r="I17" s="519">
        <f>SUM(I18:I24)</f>
        <v>32627</v>
      </c>
      <c r="J17" s="519">
        <f t="shared" si="6"/>
        <v>0</v>
      </c>
      <c r="K17" s="519">
        <f>SUM(K18:K24)</f>
        <v>32627</v>
      </c>
      <c r="L17" s="519">
        <f t="shared" si="6"/>
        <v>0</v>
      </c>
      <c r="M17" s="519">
        <f t="shared" si="6"/>
        <v>0</v>
      </c>
      <c r="N17" s="519">
        <f t="shared" si="6"/>
        <v>0</v>
      </c>
      <c r="O17" s="519">
        <f t="shared" si="6"/>
        <v>0</v>
      </c>
      <c r="P17" s="519">
        <f t="shared" si="6"/>
        <v>0</v>
      </c>
      <c r="Q17" s="519">
        <f t="shared" si="6"/>
        <v>1363</v>
      </c>
      <c r="R17" s="520">
        <f t="shared" si="5"/>
        <v>69.041623463190632</v>
      </c>
      <c r="S17" s="521"/>
      <c r="T17" s="520">
        <f t="shared" ref="T17:U95" si="7">(K17+Q17)/(D17+G17)*100</f>
        <v>78.576877730771898</v>
      </c>
      <c r="U17" s="530">
        <f>N17/H17*100</f>
        <v>0</v>
      </c>
    </row>
    <row r="18" spans="1:21" ht="33.75" customHeight="1">
      <c r="A18" s="587">
        <v>1</v>
      </c>
      <c r="B18" s="588" t="s">
        <v>354</v>
      </c>
      <c r="C18" s="589">
        <f>D18+E18</f>
        <v>10403</v>
      </c>
      <c r="D18" s="589"/>
      <c r="E18" s="589">
        <f>F18+G18</f>
        <v>10403</v>
      </c>
      <c r="F18" s="589"/>
      <c r="G18" s="589">
        <f>4903+2500+3000</f>
        <v>10403</v>
      </c>
      <c r="H18" s="589"/>
      <c r="I18" s="589">
        <f t="shared" ref="I18:I24" si="8">J18+K18+L18+M18+N18</f>
        <v>7703</v>
      </c>
      <c r="J18" s="589"/>
      <c r="K18" s="589">
        <f>3505+1257+2941</f>
        <v>7703</v>
      </c>
      <c r="L18" s="589"/>
      <c r="M18" s="589"/>
      <c r="N18" s="589">
        <f>O18+P18</f>
        <v>0</v>
      </c>
      <c r="O18" s="589"/>
      <c r="P18" s="589">
        <v>0</v>
      </c>
      <c r="Q18" s="589">
        <v>0</v>
      </c>
      <c r="R18" s="590">
        <f>I18/C18*100</f>
        <v>74.045948284148793</v>
      </c>
      <c r="S18" s="591"/>
      <c r="T18" s="590">
        <f t="shared" si="7"/>
        <v>74.045948284148793</v>
      </c>
      <c r="U18" s="568">
        <v>0</v>
      </c>
    </row>
    <row r="19" spans="1:21" s="358" customFormat="1" ht="33" customHeight="1">
      <c r="A19" s="592">
        <v>2</v>
      </c>
      <c r="B19" s="593" t="s">
        <v>358</v>
      </c>
      <c r="C19" s="594">
        <f t="shared" ref="C19:C24" si="9">D19+E19</f>
        <v>6838</v>
      </c>
      <c r="D19" s="594">
        <v>68</v>
      </c>
      <c r="E19" s="594">
        <f t="shared" ref="E19:E24" si="10">F19+G19+H19</f>
        <v>6770</v>
      </c>
      <c r="F19" s="594"/>
      <c r="G19" s="594">
        <v>6770</v>
      </c>
      <c r="H19" s="594">
        <v>0</v>
      </c>
      <c r="I19" s="594">
        <f t="shared" si="8"/>
        <v>2941</v>
      </c>
      <c r="J19" s="594"/>
      <c r="K19" s="594">
        <v>2941</v>
      </c>
      <c r="L19" s="594"/>
      <c r="M19" s="594"/>
      <c r="N19" s="594">
        <f>O19+P19</f>
        <v>0</v>
      </c>
      <c r="O19" s="594"/>
      <c r="P19" s="594">
        <v>0</v>
      </c>
      <c r="Q19" s="594">
        <f>76</f>
        <v>76</v>
      </c>
      <c r="R19" s="595">
        <f t="shared" ref="R19:R24" si="11">I19/C19*100</f>
        <v>43.009651945013161</v>
      </c>
      <c r="S19" s="596"/>
      <c r="T19" s="595">
        <f t="shared" si="7"/>
        <v>44.12108803743785</v>
      </c>
      <c r="U19" s="572">
        <v>0</v>
      </c>
    </row>
    <row r="20" spans="1:21" ht="34.9" customHeight="1">
      <c r="A20" s="592">
        <v>3</v>
      </c>
      <c r="B20" s="571" t="s">
        <v>355</v>
      </c>
      <c r="C20" s="597">
        <f>D20+E20</f>
        <v>7596</v>
      </c>
      <c r="D20" s="597">
        <v>79</v>
      </c>
      <c r="E20" s="597">
        <f t="shared" si="10"/>
        <v>7517</v>
      </c>
      <c r="F20" s="597"/>
      <c r="G20" s="597">
        <f>2267+5274-24</f>
        <v>7517</v>
      </c>
      <c r="H20" s="597">
        <f>7517-G20</f>
        <v>0</v>
      </c>
      <c r="I20" s="594">
        <f t="shared" si="8"/>
        <v>6907</v>
      </c>
      <c r="J20" s="597"/>
      <c r="K20" s="597">
        <v>6907</v>
      </c>
      <c r="L20" s="597"/>
      <c r="M20" s="597"/>
      <c r="N20" s="597">
        <f>O20+P20</f>
        <v>0</v>
      </c>
      <c r="O20" s="597"/>
      <c r="P20" s="597">
        <v>0</v>
      </c>
      <c r="Q20" s="597">
        <f>134+48</f>
        <v>182</v>
      </c>
      <c r="R20" s="595">
        <f t="shared" si="11"/>
        <v>90.929436545550288</v>
      </c>
      <c r="S20" s="571"/>
      <c r="T20" s="595">
        <f t="shared" si="7"/>
        <v>93.325434439178508</v>
      </c>
      <c r="U20" s="572">
        <v>0</v>
      </c>
    </row>
    <row r="21" spans="1:21" ht="33.75" customHeight="1">
      <c r="A21" s="592">
        <v>4</v>
      </c>
      <c r="B21" s="593" t="s">
        <v>356</v>
      </c>
      <c r="C21" s="594">
        <f t="shared" si="9"/>
        <v>6091</v>
      </c>
      <c r="D21" s="594">
        <v>600</v>
      </c>
      <c r="E21" s="594">
        <f t="shared" si="10"/>
        <v>5491</v>
      </c>
      <c r="F21" s="594"/>
      <c r="G21" s="594">
        <v>5491</v>
      </c>
      <c r="H21" s="594">
        <v>0</v>
      </c>
      <c r="I21" s="594">
        <f t="shared" si="8"/>
        <v>5187</v>
      </c>
      <c r="J21" s="594"/>
      <c r="K21" s="594">
        <v>5187</v>
      </c>
      <c r="L21" s="594"/>
      <c r="M21" s="594"/>
      <c r="N21" s="594">
        <f>O21+P21</f>
        <v>0</v>
      </c>
      <c r="O21" s="594"/>
      <c r="P21" s="594">
        <v>0</v>
      </c>
      <c r="Q21" s="594">
        <f>148+639</f>
        <v>787</v>
      </c>
      <c r="R21" s="595">
        <f t="shared" si="11"/>
        <v>85.158430471187003</v>
      </c>
      <c r="S21" s="596"/>
      <c r="T21" s="595">
        <f t="shared" si="7"/>
        <v>98.079133147266461</v>
      </c>
      <c r="U21" s="572">
        <v>0</v>
      </c>
    </row>
    <row r="22" spans="1:21" ht="33.75" customHeight="1">
      <c r="A22" s="592">
        <v>5</v>
      </c>
      <c r="B22" s="593" t="s">
        <v>357</v>
      </c>
      <c r="C22" s="594">
        <f t="shared" si="9"/>
        <v>2904</v>
      </c>
      <c r="D22" s="594">
        <v>77</v>
      </c>
      <c r="E22" s="594">
        <f t="shared" si="10"/>
        <v>2827</v>
      </c>
      <c r="F22" s="594"/>
      <c r="G22" s="594">
        <v>2827</v>
      </c>
      <c r="H22" s="594">
        <v>0</v>
      </c>
      <c r="I22" s="594">
        <f t="shared" si="8"/>
        <v>2667</v>
      </c>
      <c r="J22" s="594"/>
      <c r="K22" s="594">
        <v>2667</v>
      </c>
      <c r="L22" s="594"/>
      <c r="M22" s="594"/>
      <c r="N22" s="594">
        <f>O22+P22</f>
        <v>0</v>
      </c>
      <c r="O22" s="594"/>
      <c r="P22" s="594">
        <v>0</v>
      </c>
      <c r="Q22" s="594">
        <f>172+48</f>
        <v>220</v>
      </c>
      <c r="R22" s="595">
        <f t="shared" si="11"/>
        <v>91.838842975206617</v>
      </c>
      <c r="S22" s="596"/>
      <c r="T22" s="595">
        <f t="shared" si="7"/>
        <v>99.414600550964181</v>
      </c>
      <c r="U22" s="572">
        <v>0</v>
      </c>
    </row>
    <row r="23" spans="1:21" ht="33.75" customHeight="1">
      <c r="A23" s="592">
        <v>6</v>
      </c>
      <c r="B23" s="593" t="s">
        <v>466</v>
      </c>
      <c r="C23" s="597">
        <f t="shared" si="9"/>
        <v>9011</v>
      </c>
      <c r="D23" s="597">
        <v>67</v>
      </c>
      <c r="E23" s="597">
        <f t="shared" si="10"/>
        <v>8944</v>
      </c>
      <c r="F23" s="597"/>
      <c r="G23" s="597">
        <v>8944</v>
      </c>
      <c r="H23" s="597">
        <v>0</v>
      </c>
      <c r="I23" s="594">
        <f t="shared" si="8"/>
        <v>6906</v>
      </c>
      <c r="J23" s="597"/>
      <c r="K23" s="597">
        <v>6906</v>
      </c>
      <c r="L23" s="597"/>
      <c r="M23" s="597"/>
      <c r="N23" s="597"/>
      <c r="O23" s="597"/>
      <c r="P23" s="597"/>
      <c r="Q23" s="597">
        <v>0</v>
      </c>
      <c r="R23" s="595">
        <f t="shared" si="11"/>
        <v>76.639662634557766</v>
      </c>
      <c r="S23" s="571"/>
      <c r="T23" s="595">
        <f t="shared" si="7"/>
        <v>76.639662634557766</v>
      </c>
      <c r="U23" s="572">
        <v>0</v>
      </c>
    </row>
    <row r="24" spans="1:21" ht="45.75" customHeight="1">
      <c r="A24" s="598">
        <v>7</v>
      </c>
      <c r="B24" s="599" t="s">
        <v>359</v>
      </c>
      <c r="C24" s="600">
        <f t="shared" si="9"/>
        <v>4414</v>
      </c>
      <c r="D24" s="600">
        <v>75</v>
      </c>
      <c r="E24" s="600">
        <f t="shared" si="10"/>
        <v>4339</v>
      </c>
      <c r="F24" s="600"/>
      <c r="G24" s="600">
        <v>339</v>
      </c>
      <c r="H24" s="600">
        <v>4000</v>
      </c>
      <c r="I24" s="601">
        <f t="shared" si="8"/>
        <v>316</v>
      </c>
      <c r="J24" s="600"/>
      <c r="K24" s="600">
        <v>316</v>
      </c>
      <c r="L24" s="600"/>
      <c r="M24" s="600"/>
      <c r="N24" s="600">
        <f t="shared" ref="N24:N31" si="12">O24+P24</f>
        <v>0</v>
      </c>
      <c r="O24" s="600"/>
      <c r="P24" s="600">
        <v>0</v>
      </c>
      <c r="Q24" s="600">
        <v>98</v>
      </c>
      <c r="R24" s="602">
        <f t="shared" si="11"/>
        <v>7.1590394200271854</v>
      </c>
      <c r="S24" s="576"/>
      <c r="T24" s="602">
        <f>(K24+Q24)/(D24+G24)*100</f>
        <v>100</v>
      </c>
      <c r="U24" s="577">
        <f>P24/H24</f>
        <v>0</v>
      </c>
    </row>
    <row r="25" spans="1:21" ht="33.6" customHeight="1">
      <c r="A25" s="523" t="s">
        <v>360</v>
      </c>
      <c r="B25" s="522" t="s">
        <v>361</v>
      </c>
      <c r="C25" s="519">
        <f>+D25+E25</f>
        <v>108073</v>
      </c>
      <c r="D25" s="519">
        <f>SUM(D26:D27)</f>
        <v>130</v>
      </c>
      <c r="E25" s="519">
        <f>SUM(E26:E27)</f>
        <v>107943</v>
      </c>
      <c r="F25" s="519">
        <f t="shared" ref="F25:P25" si="13">SUM(F26:F27)</f>
        <v>0</v>
      </c>
      <c r="G25" s="519">
        <f t="shared" si="13"/>
        <v>107943</v>
      </c>
      <c r="H25" s="519">
        <f t="shared" si="13"/>
        <v>0</v>
      </c>
      <c r="I25" s="519">
        <f>SUM(I26:I27)</f>
        <v>107619</v>
      </c>
      <c r="J25" s="519">
        <f t="shared" si="13"/>
        <v>0</v>
      </c>
      <c r="K25" s="519">
        <f>SUM(K26:K27)</f>
        <v>107619</v>
      </c>
      <c r="L25" s="519">
        <f t="shared" si="13"/>
        <v>0</v>
      </c>
      <c r="M25" s="519">
        <f t="shared" si="13"/>
        <v>0</v>
      </c>
      <c r="N25" s="519">
        <f t="shared" si="12"/>
        <v>0</v>
      </c>
      <c r="O25" s="519">
        <f t="shared" si="13"/>
        <v>0</v>
      </c>
      <c r="P25" s="519">
        <f t="shared" si="13"/>
        <v>0</v>
      </c>
      <c r="Q25" s="519">
        <f>SUM(Q26:Q27)</f>
        <v>38</v>
      </c>
      <c r="R25" s="520">
        <f t="shared" si="5"/>
        <v>99.579913576934104</v>
      </c>
      <c r="S25" s="521"/>
      <c r="T25" s="520">
        <f t="shared" si="7"/>
        <v>99.615074995604829</v>
      </c>
      <c r="U25" s="520">
        <f t="shared" si="7"/>
        <v>9.22523124027812E-2</v>
      </c>
    </row>
    <row r="26" spans="1:21" ht="46.5" customHeight="1">
      <c r="A26" s="564">
        <v>1</v>
      </c>
      <c r="B26" s="603" t="s">
        <v>362</v>
      </c>
      <c r="C26" s="589">
        <f>D26+E26</f>
        <v>1912</v>
      </c>
      <c r="D26" s="604">
        <v>130</v>
      </c>
      <c r="E26" s="589">
        <f>F26+G26+H26</f>
        <v>1782</v>
      </c>
      <c r="F26" s="591"/>
      <c r="G26" s="591">
        <v>1782</v>
      </c>
      <c r="H26" s="591"/>
      <c r="I26" s="589">
        <f t="shared" ref="I26:I29" si="14">J26+K26+L26+M26+N26</f>
        <v>1872</v>
      </c>
      <c r="J26" s="591"/>
      <c r="K26" s="591">
        <v>1872</v>
      </c>
      <c r="L26" s="591"/>
      <c r="M26" s="591"/>
      <c r="N26" s="589">
        <f t="shared" si="12"/>
        <v>0</v>
      </c>
      <c r="O26" s="591"/>
      <c r="P26" s="591"/>
      <c r="Q26" s="591">
        <v>38</v>
      </c>
      <c r="R26" s="605">
        <v>99</v>
      </c>
      <c r="S26" s="591"/>
      <c r="T26" s="590">
        <f t="shared" si="7"/>
        <v>99.895397489539747</v>
      </c>
      <c r="U26" s="568">
        <v>0</v>
      </c>
    </row>
    <row r="27" spans="1:21" s="358" customFormat="1" ht="59.25" customHeight="1">
      <c r="A27" s="569">
        <v>2</v>
      </c>
      <c r="B27" s="606" t="s">
        <v>442</v>
      </c>
      <c r="C27" s="596">
        <f t="shared" ref="C27:F27" si="15">C28+C29</f>
        <v>106161</v>
      </c>
      <c r="D27" s="596">
        <f t="shared" si="15"/>
        <v>0</v>
      </c>
      <c r="E27" s="596">
        <f t="shared" si="15"/>
        <v>106161</v>
      </c>
      <c r="F27" s="596">
        <f t="shared" si="15"/>
        <v>0</v>
      </c>
      <c r="G27" s="596">
        <f>G28+G29</f>
        <v>106161</v>
      </c>
      <c r="H27" s="596"/>
      <c r="I27" s="594">
        <f t="shared" si="14"/>
        <v>105747</v>
      </c>
      <c r="J27" s="596"/>
      <c r="K27" s="596">
        <f>K28+K29</f>
        <v>105747</v>
      </c>
      <c r="L27" s="596"/>
      <c r="M27" s="596"/>
      <c r="N27" s="594">
        <f t="shared" si="12"/>
        <v>0</v>
      </c>
      <c r="O27" s="596"/>
      <c r="P27" s="596"/>
      <c r="Q27" s="596"/>
      <c r="R27" s="607">
        <v>99</v>
      </c>
      <c r="S27" s="596"/>
      <c r="T27" s="595">
        <f t="shared" si="7"/>
        <v>99.610026280837587</v>
      </c>
      <c r="U27" s="572">
        <v>0</v>
      </c>
    </row>
    <row r="28" spans="1:21" ht="56.25" customHeight="1">
      <c r="A28" s="608"/>
      <c r="B28" s="609" t="s">
        <v>538</v>
      </c>
      <c r="C28" s="610">
        <f t="shared" ref="C28:C29" si="16">D28+E28</f>
        <v>104986</v>
      </c>
      <c r="D28" s="611"/>
      <c r="E28" s="610">
        <f t="shared" ref="E28:E29" si="17">F28+G28+H28</f>
        <v>104986</v>
      </c>
      <c r="F28" s="612"/>
      <c r="G28" s="612">
        <v>104986</v>
      </c>
      <c r="H28" s="612"/>
      <c r="I28" s="610">
        <f t="shared" si="14"/>
        <v>104572</v>
      </c>
      <c r="J28" s="612"/>
      <c r="K28" s="612">
        <v>104572</v>
      </c>
      <c r="L28" s="612"/>
      <c r="M28" s="612"/>
      <c r="N28" s="610"/>
      <c r="O28" s="612"/>
      <c r="P28" s="612"/>
      <c r="Q28" s="612"/>
      <c r="R28" s="613"/>
      <c r="S28" s="612"/>
      <c r="T28" s="614"/>
      <c r="U28" s="615">
        <v>0</v>
      </c>
    </row>
    <row r="29" spans="1:21" ht="43.5" customHeight="1">
      <c r="A29" s="616"/>
      <c r="B29" s="617" t="s">
        <v>379</v>
      </c>
      <c r="C29" s="618">
        <f t="shared" si="16"/>
        <v>1175</v>
      </c>
      <c r="D29" s="619"/>
      <c r="E29" s="618">
        <f t="shared" si="17"/>
        <v>1175</v>
      </c>
      <c r="F29" s="620"/>
      <c r="G29" s="620">
        <v>1175</v>
      </c>
      <c r="H29" s="620"/>
      <c r="I29" s="618">
        <f t="shared" si="14"/>
        <v>1175</v>
      </c>
      <c r="J29" s="620"/>
      <c r="K29" s="620">
        <v>1175</v>
      </c>
      <c r="L29" s="620"/>
      <c r="M29" s="620"/>
      <c r="N29" s="618"/>
      <c r="O29" s="620"/>
      <c r="P29" s="620"/>
      <c r="Q29" s="620"/>
      <c r="R29" s="621"/>
      <c r="S29" s="620"/>
      <c r="T29" s="622"/>
      <c r="U29" s="623">
        <v>0</v>
      </c>
    </row>
    <row r="30" spans="1:21" s="358" customFormat="1" ht="33.6" customHeight="1">
      <c r="A30" s="523" t="s">
        <v>363</v>
      </c>
      <c r="B30" s="522" t="s">
        <v>364</v>
      </c>
      <c r="C30" s="519">
        <f>D30+E30</f>
        <v>163700</v>
      </c>
      <c r="D30" s="519">
        <f>SUM(D31:D31)</f>
        <v>0</v>
      </c>
      <c r="E30" s="519">
        <f>SUM(E31:E31)</f>
        <v>163700</v>
      </c>
      <c r="F30" s="519">
        <f>SUM(F31:F31)</f>
        <v>0</v>
      </c>
      <c r="G30" s="519">
        <f>SUM(G31:G31)</f>
        <v>163700</v>
      </c>
      <c r="H30" s="519">
        <f>SUM(H31:H31)</f>
        <v>0</v>
      </c>
      <c r="I30" s="519">
        <f>J30+K30+L30+M30+N30+Q30</f>
        <v>47529</v>
      </c>
      <c r="J30" s="519">
        <f>SUM(J31:J31)</f>
        <v>0</v>
      </c>
      <c r="K30" s="519">
        <f>SUM(K31:K31)</f>
        <v>47529</v>
      </c>
      <c r="L30" s="519">
        <f>SUM(L31:L31)</f>
        <v>0</v>
      </c>
      <c r="M30" s="519">
        <f>SUM(M31:M31)</f>
        <v>0</v>
      </c>
      <c r="N30" s="519">
        <f t="shared" si="12"/>
        <v>0</v>
      </c>
      <c r="O30" s="519">
        <f>SUM(O31:O31)</f>
        <v>0</v>
      </c>
      <c r="P30" s="519"/>
      <c r="Q30" s="519"/>
      <c r="R30" s="520">
        <f t="shared" si="5"/>
        <v>29.034208918753819</v>
      </c>
      <c r="S30" s="521"/>
      <c r="T30" s="520">
        <f t="shared" si="7"/>
        <v>29.034208918753819</v>
      </c>
      <c r="U30" s="530">
        <v>0</v>
      </c>
    </row>
    <row r="31" spans="1:21" ht="33.75" customHeight="1">
      <c r="A31" s="524">
        <v>1</v>
      </c>
      <c r="B31" s="525" t="s">
        <v>365</v>
      </c>
      <c r="C31" s="532">
        <f>D31+E31</f>
        <v>163700</v>
      </c>
      <c r="D31" s="532"/>
      <c r="E31" s="532">
        <f>F31+G31+H31</f>
        <v>163700</v>
      </c>
      <c r="F31" s="532"/>
      <c r="G31" s="532">
        <v>163700</v>
      </c>
      <c r="H31" s="532"/>
      <c r="I31" s="526">
        <f>J31+K31+L31+M31+N31</f>
        <v>47529</v>
      </c>
      <c r="J31" s="532"/>
      <c r="K31" s="532">
        <v>47529</v>
      </c>
      <c r="L31" s="532"/>
      <c r="M31" s="532"/>
      <c r="N31" s="532">
        <f t="shared" si="12"/>
        <v>0</v>
      </c>
      <c r="O31" s="532"/>
      <c r="P31" s="532"/>
      <c r="Q31" s="532"/>
      <c r="R31" s="529">
        <f t="shared" si="5"/>
        <v>29.034208918753819</v>
      </c>
      <c r="S31" s="531"/>
      <c r="T31" s="527">
        <f t="shared" si="7"/>
        <v>29.034208918753819</v>
      </c>
      <c r="U31" s="529">
        <v>0</v>
      </c>
    </row>
    <row r="32" spans="1:21" s="358" customFormat="1" ht="33.75" customHeight="1">
      <c r="A32" s="523" t="s">
        <v>366</v>
      </c>
      <c r="B32" s="522" t="s">
        <v>367</v>
      </c>
      <c r="C32" s="519">
        <f>SUM(C33:C58)</f>
        <v>70677.611418</v>
      </c>
      <c r="D32" s="519">
        <f t="shared" ref="D32:Q32" si="18">SUM(D33:D58)</f>
        <v>3715.611418</v>
      </c>
      <c r="E32" s="519">
        <f t="shared" si="18"/>
        <v>66962</v>
      </c>
      <c r="F32" s="519">
        <f t="shared" si="18"/>
        <v>0</v>
      </c>
      <c r="G32" s="519">
        <f t="shared" si="18"/>
        <v>66962</v>
      </c>
      <c r="H32" s="519">
        <f t="shared" si="18"/>
        <v>0</v>
      </c>
      <c r="I32" s="519">
        <f t="shared" si="18"/>
        <v>58165.981417000003</v>
      </c>
      <c r="J32" s="519">
        <f t="shared" si="18"/>
        <v>0</v>
      </c>
      <c r="K32" s="519">
        <f t="shared" si="18"/>
        <v>58165.981417000003</v>
      </c>
      <c r="L32" s="519">
        <f t="shared" si="18"/>
        <v>0</v>
      </c>
      <c r="M32" s="519">
        <f t="shared" si="18"/>
        <v>0</v>
      </c>
      <c r="N32" s="519">
        <f t="shared" si="18"/>
        <v>0</v>
      </c>
      <c r="O32" s="519">
        <f t="shared" si="18"/>
        <v>0</v>
      </c>
      <c r="P32" s="519">
        <f t="shared" si="18"/>
        <v>0</v>
      </c>
      <c r="Q32" s="519">
        <f t="shared" si="18"/>
        <v>1772.326</v>
      </c>
      <c r="R32" s="520">
        <f t="shared" si="5"/>
        <v>82.297604927529335</v>
      </c>
      <c r="S32" s="521"/>
      <c r="T32" s="520">
        <f t="shared" si="7"/>
        <v>84.805225041511605</v>
      </c>
      <c r="U32" s="530">
        <v>0</v>
      </c>
    </row>
    <row r="33" spans="1:21" ht="51.6" customHeight="1">
      <c r="A33" s="564">
        <v>1</v>
      </c>
      <c r="B33" s="603" t="s">
        <v>368</v>
      </c>
      <c r="C33" s="589">
        <f>D33+E33</f>
        <v>3233</v>
      </c>
      <c r="D33" s="604">
        <v>35</v>
      </c>
      <c r="E33" s="589">
        <f>G33</f>
        <v>3198</v>
      </c>
      <c r="F33" s="591"/>
      <c r="G33" s="591">
        <f>1956+1242</f>
        <v>3198</v>
      </c>
      <c r="H33" s="591"/>
      <c r="I33" s="589">
        <f t="shared" ref="I33:I58" si="19">J33+K33+L33+M33+N33</f>
        <v>2928</v>
      </c>
      <c r="J33" s="591"/>
      <c r="K33" s="591">
        <v>2928</v>
      </c>
      <c r="L33" s="591"/>
      <c r="M33" s="591"/>
      <c r="N33" s="589"/>
      <c r="O33" s="591"/>
      <c r="P33" s="591"/>
      <c r="Q33" s="591">
        <v>55</v>
      </c>
      <c r="R33" s="590">
        <f t="shared" si="5"/>
        <v>90.566037735849065</v>
      </c>
      <c r="S33" s="591"/>
      <c r="T33" s="590">
        <f t="shared" si="7"/>
        <v>92.267244045777915</v>
      </c>
      <c r="U33" s="568">
        <v>0</v>
      </c>
    </row>
    <row r="34" spans="1:21" ht="33.75" customHeight="1">
      <c r="A34" s="569">
        <v>2</v>
      </c>
      <c r="B34" s="606" t="s">
        <v>369</v>
      </c>
      <c r="C34" s="594">
        <f>D34+E34</f>
        <v>3117</v>
      </c>
      <c r="D34" s="596">
        <v>29</v>
      </c>
      <c r="E34" s="594">
        <f>F34+G34+H34</f>
        <v>3088</v>
      </c>
      <c r="F34" s="596"/>
      <c r="G34" s="596">
        <v>3088</v>
      </c>
      <c r="H34" s="596"/>
      <c r="I34" s="594">
        <f t="shared" si="19"/>
        <v>2990.4</v>
      </c>
      <c r="J34" s="596"/>
      <c r="K34" s="596">
        <v>2990.4</v>
      </c>
      <c r="L34" s="596"/>
      <c r="M34" s="596"/>
      <c r="N34" s="594">
        <f>O34+P34</f>
        <v>0</v>
      </c>
      <c r="O34" s="596"/>
      <c r="P34" s="596"/>
      <c r="Q34" s="596">
        <v>94.075999999999993</v>
      </c>
      <c r="R34" s="595">
        <f t="shared" si="5"/>
        <v>95.938402309913386</v>
      </c>
      <c r="S34" s="596"/>
      <c r="T34" s="595">
        <f t="shared" si="7"/>
        <v>98.956560795636832</v>
      </c>
      <c r="U34" s="572">
        <v>0</v>
      </c>
    </row>
    <row r="35" spans="1:21" ht="33.75" customHeight="1">
      <c r="A35" s="569">
        <v>3</v>
      </c>
      <c r="B35" s="606" t="s">
        <v>370</v>
      </c>
      <c r="C35" s="594">
        <f t="shared" ref="C35:C58" si="20">D35+E35</f>
        <v>4576</v>
      </c>
      <c r="D35" s="624">
        <v>159</v>
      </c>
      <c r="E35" s="594">
        <f>F35+G35+H35</f>
        <v>4417</v>
      </c>
      <c r="F35" s="596"/>
      <c r="G35" s="596">
        <f>2229+24+2164</f>
        <v>4417</v>
      </c>
      <c r="H35" s="596"/>
      <c r="I35" s="594">
        <f t="shared" si="19"/>
        <v>3875</v>
      </c>
      <c r="J35" s="596"/>
      <c r="K35" s="596">
        <v>3875</v>
      </c>
      <c r="L35" s="596"/>
      <c r="M35" s="596"/>
      <c r="N35" s="594">
        <f>O35+P35</f>
        <v>0</v>
      </c>
      <c r="O35" s="596"/>
      <c r="P35" s="596"/>
      <c r="Q35" s="596">
        <v>167</v>
      </c>
      <c r="R35" s="607">
        <v>85</v>
      </c>
      <c r="S35" s="596"/>
      <c r="T35" s="595">
        <f t="shared" si="7"/>
        <v>88.330419580419587</v>
      </c>
      <c r="U35" s="572">
        <v>0</v>
      </c>
    </row>
    <row r="36" spans="1:21" ht="33.75" customHeight="1">
      <c r="A36" s="569">
        <v>4</v>
      </c>
      <c r="B36" s="570" t="s">
        <v>371</v>
      </c>
      <c r="C36" s="594">
        <f t="shared" si="20"/>
        <v>4121.9714180000001</v>
      </c>
      <c r="D36" s="594">
        <v>67.971418</v>
      </c>
      <c r="E36" s="594">
        <f>F36+G36+H36</f>
        <v>4054</v>
      </c>
      <c r="F36" s="594"/>
      <c r="G36" s="594">
        <v>4054</v>
      </c>
      <c r="H36" s="594"/>
      <c r="I36" s="594">
        <f t="shared" si="19"/>
        <v>4010.941417</v>
      </c>
      <c r="J36" s="594"/>
      <c r="K36" s="594">
        <v>4010.941417</v>
      </c>
      <c r="L36" s="594"/>
      <c r="M36" s="594"/>
      <c r="N36" s="594">
        <f>O36+P36</f>
        <v>0</v>
      </c>
      <c r="O36" s="594"/>
      <c r="P36" s="594"/>
      <c r="Q36" s="594"/>
      <c r="R36" s="594">
        <f>I36/C36*100</f>
        <v>97.306385956119215</v>
      </c>
      <c r="S36" s="594"/>
      <c r="T36" s="595">
        <f t="shared" si="7"/>
        <v>97.306385956119215</v>
      </c>
      <c r="U36" s="572">
        <v>0</v>
      </c>
    </row>
    <row r="37" spans="1:21" ht="33.75" customHeight="1">
      <c r="A37" s="569">
        <v>5</v>
      </c>
      <c r="B37" s="570" t="s">
        <v>372</v>
      </c>
      <c r="C37" s="594">
        <f>D37+E37</f>
        <v>3492</v>
      </c>
      <c r="D37" s="624">
        <v>193</v>
      </c>
      <c r="E37" s="594">
        <f>G37</f>
        <v>3299</v>
      </c>
      <c r="F37" s="596"/>
      <c r="G37" s="596">
        <f>2173+1126</f>
        <v>3299</v>
      </c>
      <c r="H37" s="596"/>
      <c r="I37" s="594">
        <f t="shared" si="19"/>
        <v>3162</v>
      </c>
      <c r="J37" s="596"/>
      <c r="K37" s="596">
        <v>3162</v>
      </c>
      <c r="L37" s="596"/>
      <c r="M37" s="596"/>
      <c r="N37" s="594">
        <f t="shared" ref="N37:N44" si="21">O37+P37</f>
        <v>0</v>
      </c>
      <c r="O37" s="596"/>
      <c r="P37" s="596"/>
      <c r="Q37" s="596">
        <v>193</v>
      </c>
      <c r="R37" s="595">
        <f t="shared" ref="R37:R40" si="22">I37/C37*100</f>
        <v>90.549828178694156</v>
      </c>
      <c r="S37" s="596"/>
      <c r="T37" s="595">
        <f t="shared" si="7"/>
        <v>96.076746849942722</v>
      </c>
      <c r="U37" s="572">
        <v>0</v>
      </c>
    </row>
    <row r="38" spans="1:21" ht="33.75" customHeight="1">
      <c r="A38" s="569">
        <v>6</v>
      </c>
      <c r="B38" s="570" t="s">
        <v>539</v>
      </c>
      <c r="C38" s="594">
        <f>D38+E38</f>
        <v>2833</v>
      </c>
      <c r="D38" s="624">
        <v>49</v>
      </c>
      <c r="E38" s="594">
        <f>G38</f>
        <v>2784</v>
      </c>
      <c r="F38" s="596"/>
      <c r="G38" s="596">
        <f>1225+1559</f>
        <v>2784</v>
      </c>
      <c r="H38" s="596"/>
      <c r="I38" s="594">
        <f t="shared" si="19"/>
        <v>1550</v>
      </c>
      <c r="J38" s="596"/>
      <c r="K38" s="596">
        <v>1550</v>
      </c>
      <c r="L38" s="596"/>
      <c r="M38" s="596"/>
      <c r="N38" s="594">
        <f t="shared" si="21"/>
        <v>0</v>
      </c>
      <c r="O38" s="596"/>
      <c r="P38" s="596"/>
      <c r="Q38" s="596">
        <v>84</v>
      </c>
      <c r="R38" s="595">
        <f t="shared" si="22"/>
        <v>54.712319096364283</v>
      </c>
      <c r="S38" s="596"/>
      <c r="T38" s="595">
        <f t="shared" si="7"/>
        <v>57.677373808683377</v>
      </c>
      <c r="U38" s="572">
        <v>0</v>
      </c>
    </row>
    <row r="39" spans="1:21" ht="33.75" customHeight="1">
      <c r="A39" s="569">
        <v>7</v>
      </c>
      <c r="B39" s="606" t="s">
        <v>373</v>
      </c>
      <c r="C39" s="594">
        <f>D39+E39</f>
        <v>2000</v>
      </c>
      <c r="D39" s="624">
        <v>0</v>
      </c>
      <c r="E39" s="594">
        <f t="shared" ref="E39:E58" si="23">F39+G39+H39</f>
        <v>2000</v>
      </c>
      <c r="F39" s="596"/>
      <c r="G39" s="596">
        <v>2000</v>
      </c>
      <c r="H39" s="596"/>
      <c r="I39" s="594">
        <f t="shared" si="19"/>
        <v>188</v>
      </c>
      <c r="J39" s="596"/>
      <c r="K39" s="596">
        <v>188</v>
      </c>
      <c r="L39" s="596"/>
      <c r="M39" s="596"/>
      <c r="N39" s="594">
        <f t="shared" si="21"/>
        <v>0</v>
      </c>
      <c r="O39" s="596"/>
      <c r="P39" s="596"/>
      <c r="Q39" s="596">
        <v>0</v>
      </c>
      <c r="R39" s="595">
        <f t="shared" si="22"/>
        <v>9.4</v>
      </c>
      <c r="S39" s="596"/>
      <c r="T39" s="595">
        <f t="shared" si="7"/>
        <v>9.4</v>
      </c>
      <c r="U39" s="572">
        <v>0</v>
      </c>
    </row>
    <row r="40" spans="1:21" ht="33.75" customHeight="1">
      <c r="A40" s="569">
        <v>8</v>
      </c>
      <c r="B40" s="593" t="s">
        <v>374</v>
      </c>
      <c r="C40" s="597">
        <f>D40+E40</f>
        <v>24273</v>
      </c>
      <c r="D40" s="597">
        <v>2972</v>
      </c>
      <c r="E40" s="597">
        <f t="shared" si="23"/>
        <v>21301</v>
      </c>
      <c r="F40" s="597"/>
      <c r="G40" s="597">
        <v>21301</v>
      </c>
      <c r="H40" s="597"/>
      <c r="I40" s="594">
        <f t="shared" si="19"/>
        <v>21698</v>
      </c>
      <c r="J40" s="597"/>
      <c r="K40" s="597">
        <v>21698</v>
      </c>
      <c r="L40" s="597"/>
      <c r="M40" s="597"/>
      <c r="N40" s="597">
        <f t="shared" si="21"/>
        <v>0</v>
      </c>
      <c r="O40" s="597"/>
      <c r="P40" s="597"/>
      <c r="Q40" s="597">
        <v>1110</v>
      </c>
      <c r="R40" s="595">
        <f t="shared" si="22"/>
        <v>89.391504964363705</v>
      </c>
      <c r="S40" s="571"/>
      <c r="T40" s="595">
        <f t="shared" si="7"/>
        <v>93.964487290404975</v>
      </c>
      <c r="U40" s="572">
        <v>0</v>
      </c>
    </row>
    <row r="41" spans="1:21" ht="33.75" customHeight="1">
      <c r="A41" s="569">
        <v>9</v>
      </c>
      <c r="B41" s="606" t="s">
        <v>375</v>
      </c>
      <c r="C41" s="594">
        <f t="shared" ref="C41:C44" si="24">D41+E41</f>
        <v>2187</v>
      </c>
      <c r="D41" s="596">
        <v>25</v>
      </c>
      <c r="E41" s="594">
        <f t="shared" si="23"/>
        <v>2162</v>
      </c>
      <c r="F41" s="596"/>
      <c r="G41" s="596">
        <v>2162</v>
      </c>
      <c r="H41" s="596"/>
      <c r="I41" s="594">
        <f t="shared" si="19"/>
        <v>2098</v>
      </c>
      <c r="J41" s="596"/>
      <c r="K41" s="596">
        <v>2098</v>
      </c>
      <c r="L41" s="596"/>
      <c r="M41" s="596"/>
      <c r="N41" s="594">
        <f t="shared" si="21"/>
        <v>0</v>
      </c>
      <c r="O41" s="596"/>
      <c r="P41" s="596"/>
      <c r="Q41" s="596">
        <v>35</v>
      </c>
      <c r="R41" s="595">
        <f t="shared" si="5"/>
        <v>95.930498399634203</v>
      </c>
      <c r="S41" s="596"/>
      <c r="T41" s="595">
        <f t="shared" si="7"/>
        <v>97.53086419753086</v>
      </c>
      <c r="U41" s="572">
        <v>0</v>
      </c>
    </row>
    <row r="42" spans="1:21" ht="33.75" customHeight="1">
      <c r="A42" s="569">
        <v>10</v>
      </c>
      <c r="B42" s="593" t="s">
        <v>376</v>
      </c>
      <c r="C42" s="594">
        <f t="shared" si="24"/>
        <v>4718.6400000000003</v>
      </c>
      <c r="D42" s="594">
        <v>114.64</v>
      </c>
      <c r="E42" s="594">
        <f t="shared" si="23"/>
        <v>4604</v>
      </c>
      <c r="F42" s="594"/>
      <c r="G42" s="594">
        <v>4604</v>
      </c>
      <c r="H42" s="594"/>
      <c r="I42" s="594">
        <f t="shared" si="19"/>
        <v>3757.64</v>
      </c>
      <c r="J42" s="594"/>
      <c r="K42" s="594">
        <v>3757.64</v>
      </c>
      <c r="L42" s="594"/>
      <c r="M42" s="594"/>
      <c r="N42" s="594">
        <f t="shared" si="21"/>
        <v>0</v>
      </c>
      <c r="O42" s="594"/>
      <c r="P42" s="594"/>
      <c r="Q42" s="594">
        <v>34.25</v>
      </c>
      <c r="R42" s="595">
        <f t="shared" si="5"/>
        <v>79.633962328128433</v>
      </c>
      <c r="S42" s="596"/>
      <c r="T42" s="595">
        <f t="shared" si="7"/>
        <v>80.35980706305206</v>
      </c>
      <c r="U42" s="572">
        <v>0</v>
      </c>
    </row>
    <row r="43" spans="1:21" ht="33.75" customHeight="1">
      <c r="A43" s="569">
        <v>11</v>
      </c>
      <c r="B43" s="593" t="s">
        <v>377</v>
      </c>
      <c r="C43" s="594">
        <f t="shared" si="24"/>
        <v>100</v>
      </c>
      <c r="D43" s="594"/>
      <c r="E43" s="594">
        <f t="shared" si="23"/>
        <v>100</v>
      </c>
      <c r="F43" s="594"/>
      <c r="G43" s="594">
        <v>100</v>
      </c>
      <c r="H43" s="594"/>
      <c r="I43" s="594">
        <v>99</v>
      </c>
      <c r="J43" s="594"/>
      <c r="K43" s="594">
        <v>99</v>
      </c>
      <c r="L43" s="594"/>
      <c r="M43" s="594"/>
      <c r="N43" s="594">
        <f t="shared" si="21"/>
        <v>0</v>
      </c>
      <c r="O43" s="594"/>
      <c r="P43" s="594"/>
      <c r="Q43" s="594"/>
      <c r="R43" s="596">
        <f t="shared" si="5"/>
        <v>99</v>
      </c>
      <c r="S43" s="596"/>
      <c r="T43" s="595">
        <f t="shared" si="7"/>
        <v>99</v>
      </c>
      <c r="U43" s="572">
        <v>0</v>
      </c>
    </row>
    <row r="44" spans="1:21" ht="38.25" customHeight="1">
      <c r="A44" s="569">
        <v>12</v>
      </c>
      <c r="B44" s="593" t="s">
        <v>378</v>
      </c>
      <c r="C44" s="594">
        <f t="shared" si="24"/>
        <v>100</v>
      </c>
      <c r="D44" s="594"/>
      <c r="E44" s="594">
        <f t="shared" si="23"/>
        <v>100</v>
      </c>
      <c r="F44" s="594"/>
      <c r="G44" s="594">
        <v>100</v>
      </c>
      <c r="H44" s="594"/>
      <c r="I44" s="594">
        <v>99</v>
      </c>
      <c r="J44" s="594"/>
      <c r="K44" s="594">
        <v>99</v>
      </c>
      <c r="L44" s="594"/>
      <c r="M44" s="594"/>
      <c r="N44" s="594">
        <f t="shared" si="21"/>
        <v>0</v>
      </c>
      <c r="O44" s="594"/>
      <c r="P44" s="594"/>
      <c r="Q44" s="594"/>
      <c r="R44" s="596">
        <f t="shared" si="5"/>
        <v>99</v>
      </c>
      <c r="S44" s="596"/>
      <c r="T44" s="595">
        <f t="shared" si="7"/>
        <v>99</v>
      </c>
      <c r="U44" s="572">
        <v>0</v>
      </c>
    </row>
    <row r="45" spans="1:21" ht="38.25" customHeight="1">
      <c r="A45" s="569">
        <v>13</v>
      </c>
      <c r="B45" s="593" t="s">
        <v>467</v>
      </c>
      <c r="C45" s="594">
        <f t="shared" si="20"/>
        <v>1100</v>
      </c>
      <c r="D45" s="594"/>
      <c r="E45" s="594">
        <f t="shared" si="23"/>
        <v>1100</v>
      </c>
      <c r="F45" s="594"/>
      <c r="G45" s="594">
        <v>1100</v>
      </c>
      <c r="H45" s="594"/>
      <c r="I45" s="594">
        <f t="shared" si="19"/>
        <v>1100</v>
      </c>
      <c r="J45" s="594"/>
      <c r="K45" s="594">
        <v>1100</v>
      </c>
      <c r="L45" s="594"/>
      <c r="M45" s="594"/>
      <c r="N45" s="594"/>
      <c r="O45" s="594"/>
      <c r="P45" s="594"/>
      <c r="Q45" s="594">
        <v>0</v>
      </c>
      <c r="R45" s="625">
        <f t="shared" si="5"/>
        <v>100</v>
      </c>
      <c r="S45" s="596"/>
      <c r="T45" s="595">
        <f t="shared" si="7"/>
        <v>100</v>
      </c>
      <c r="U45" s="572">
        <v>0</v>
      </c>
    </row>
    <row r="46" spans="1:21" ht="50.25" customHeight="1">
      <c r="A46" s="569">
        <v>14</v>
      </c>
      <c r="B46" s="593" t="s">
        <v>443</v>
      </c>
      <c r="C46" s="594">
        <f t="shared" si="20"/>
        <v>1500</v>
      </c>
      <c r="D46" s="594"/>
      <c r="E46" s="594">
        <f t="shared" si="23"/>
        <v>1500</v>
      </c>
      <c r="F46" s="594"/>
      <c r="G46" s="594">
        <v>1500</v>
      </c>
      <c r="H46" s="594"/>
      <c r="I46" s="594">
        <f t="shared" si="19"/>
        <v>284</v>
      </c>
      <c r="J46" s="594"/>
      <c r="K46" s="594">
        <v>284</v>
      </c>
      <c r="L46" s="594"/>
      <c r="M46" s="594"/>
      <c r="N46" s="594"/>
      <c r="O46" s="594"/>
      <c r="P46" s="594"/>
      <c r="Q46" s="594"/>
      <c r="R46" s="625">
        <f t="shared" si="5"/>
        <v>18.933333333333334</v>
      </c>
      <c r="S46" s="596"/>
      <c r="T46" s="595">
        <f t="shared" si="7"/>
        <v>18.933333333333334</v>
      </c>
      <c r="U46" s="572">
        <v>0</v>
      </c>
    </row>
    <row r="47" spans="1:21" s="358" customFormat="1" ht="33.6" customHeight="1">
      <c r="A47" s="569">
        <v>15</v>
      </c>
      <c r="B47" s="570" t="s">
        <v>540</v>
      </c>
      <c r="C47" s="594">
        <f t="shared" si="20"/>
        <v>8871</v>
      </c>
      <c r="D47" s="594">
        <v>71</v>
      </c>
      <c r="E47" s="594">
        <f t="shared" si="23"/>
        <v>8800</v>
      </c>
      <c r="F47" s="594"/>
      <c r="G47" s="594">
        <v>8800</v>
      </c>
      <c r="H47" s="594"/>
      <c r="I47" s="594">
        <f t="shared" si="19"/>
        <v>5871</v>
      </c>
      <c r="J47" s="594"/>
      <c r="K47" s="594">
        <v>5871</v>
      </c>
      <c r="L47" s="594"/>
      <c r="M47" s="594"/>
      <c r="N47" s="594">
        <f t="shared" ref="N47:N58" si="25">O47+P47</f>
        <v>0</v>
      </c>
      <c r="O47" s="594"/>
      <c r="P47" s="594"/>
      <c r="Q47" s="594">
        <v>0</v>
      </c>
      <c r="R47" s="595">
        <f t="shared" si="5"/>
        <v>66.181941156577622</v>
      </c>
      <c r="S47" s="596"/>
      <c r="T47" s="595">
        <f t="shared" si="7"/>
        <v>66.181941156577622</v>
      </c>
      <c r="U47" s="572">
        <v>0</v>
      </c>
    </row>
    <row r="48" spans="1:21" s="358" customFormat="1" ht="33.6" customHeight="1">
      <c r="A48" s="569">
        <v>16</v>
      </c>
      <c r="B48" s="570" t="s">
        <v>541</v>
      </c>
      <c r="C48" s="594">
        <f t="shared" si="20"/>
        <v>405</v>
      </c>
      <c r="D48" s="594">
        <v>0</v>
      </c>
      <c r="E48" s="594">
        <f t="shared" si="23"/>
        <v>405</v>
      </c>
      <c r="F48" s="594"/>
      <c r="G48" s="594">
        <v>405</v>
      </c>
      <c r="H48" s="594"/>
      <c r="I48" s="594">
        <f t="shared" si="19"/>
        <v>405</v>
      </c>
      <c r="J48" s="594"/>
      <c r="K48" s="594">
        <v>405</v>
      </c>
      <c r="L48" s="594"/>
      <c r="M48" s="594"/>
      <c r="N48" s="594">
        <f t="shared" si="25"/>
        <v>0</v>
      </c>
      <c r="O48" s="594"/>
      <c r="P48" s="594"/>
      <c r="Q48" s="594">
        <v>0</v>
      </c>
      <c r="R48" s="595">
        <f t="shared" si="5"/>
        <v>100</v>
      </c>
      <c r="S48" s="596"/>
      <c r="T48" s="595">
        <f t="shared" si="7"/>
        <v>100</v>
      </c>
      <c r="U48" s="572">
        <v>0</v>
      </c>
    </row>
    <row r="49" spans="1:21" s="358" customFormat="1" ht="33.75" customHeight="1">
      <c r="A49" s="569">
        <v>17</v>
      </c>
      <c r="B49" s="570" t="s">
        <v>542</v>
      </c>
      <c r="C49" s="594">
        <f t="shared" si="20"/>
        <v>405</v>
      </c>
      <c r="D49" s="594">
        <v>0</v>
      </c>
      <c r="E49" s="594">
        <f t="shared" si="23"/>
        <v>405</v>
      </c>
      <c r="F49" s="594"/>
      <c r="G49" s="594">
        <v>405</v>
      </c>
      <c r="H49" s="594"/>
      <c r="I49" s="594">
        <f t="shared" si="19"/>
        <v>405</v>
      </c>
      <c r="J49" s="594"/>
      <c r="K49" s="594">
        <v>405</v>
      </c>
      <c r="L49" s="594"/>
      <c r="M49" s="594"/>
      <c r="N49" s="594">
        <f t="shared" si="25"/>
        <v>0</v>
      </c>
      <c r="O49" s="594"/>
      <c r="P49" s="594"/>
      <c r="Q49" s="594">
        <v>0</v>
      </c>
      <c r="R49" s="595">
        <f t="shared" si="5"/>
        <v>100</v>
      </c>
      <c r="S49" s="596"/>
      <c r="T49" s="595">
        <f t="shared" si="7"/>
        <v>100</v>
      </c>
      <c r="U49" s="572">
        <v>0</v>
      </c>
    </row>
    <row r="50" spans="1:21" ht="33.75" customHeight="1">
      <c r="A50" s="569">
        <v>18</v>
      </c>
      <c r="B50" s="570" t="s">
        <v>543</v>
      </c>
      <c r="C50" s="594">
        <f t="shared" si="20"/>
        <v>405</v>
      </c>
      <c r="D50" s="594">
        <v>0</v>
      </c>
      <c r="E50" s="594">
        <f t="shared" si="23"/>
        <v>405</v>
      </c>
      <c r="F50" s="594"/>
      <c r="G50" s="594">
        <v>405</v>
      </c>
      <c r="H50" s="594"/>
      <c r="I50" s="594">
        <f t="shared" si="19"/>
        <v>405</v>
      </c>
      <c r="J50" s="594"/>
      <c r="K50" s="594">
        <v>405</v>
      </c>
      <c r="L50" s="594"/>
      <c r="M50" s="594"/>
      <c r="N50" s="594">
        <f t="shared" si="25"/>
        <v>0</v>
      </c>
      <c r="O50" s="594"/>
      <c r="P50" s="594"/>
      <c r="Q50" s="594">
        <v>0</v>
      </c>
      <c r="R50" s="595">
        <f t="shared" si="5"/>
        <v>100</v>
      </c>
      <c r="S50" s="596"/>
      <c r="T50" s="595">
        <f t="shared" si="7"/>
        <v>100</v>
      </c>
      <c r="U50" s="572">
        <v>0</v>
      </c>
    </row>
    <row r="51" spans="1:21" s="358" customFormat="1" ht="33.75" customHeight="1">
      <c r="A51" s="569">
        <v>19</v>
      </c>
      <c r="B51" s="570" t="s">
        <v>544</v>
      </c>
      <c r="C51" s="594">
        <f t="shared" si="20"/>
        <v>405</v>
      </c>
      <c r="D51" s="594">
        <v>0</v>
      </c>
      <c r="E51" s="594">
        <f t="shared" si="23"/>
        <v>405</v>
      </c>
      <c r="F51" s="594"/>
      <c r="G51" s="594">
        <v>405</v>
      </c>
      <c r="H51" s="594"/>
      <c r="I51" s="594">
        <f t="shared" si="19"/>
        <v>405</v>
      </c>
      <c r="J51" s="594"/>
      <c r="K51" s="594">
        <v>405</v>
      </c>
      <c r="L51" s="594"/>
      <c r="M51" s="594"/>
      <c r="N51" s="594">
        <f t="shared" si="25"/>
        <v>0</v>
      </c>
      <c r="O51" s="594"/>
      <c r="P51" s="594"/>
      <c r="Q51" s="594">
        <v>0</v>
      </c>
      <c r="R51" s="595">
        <f t="shared" si="5"/>
        <v>100</v>
      </c>
      <c r="S51" s="596"/>
      <c r="T51" s="595">
        <f t="shared" si="7"/>
        <v>100</v>
      </c>
      <c r="U51" s="572">
        <v>0</v>
      </c>
    </row>
    <row r="52" spans="1:21" ht="33.75" customHeight="1">
      <c r="A52" s="569">
        <v>20</v>
      </c>
      <c r="B52" s="570" t="s">
        <v>545</v>
      </c>
      <c r="C52" s="594">
        <f t="shared" si="20"/>
        <v>405</v>
      </c>
      <c r="D52" s="594">
        <v>0</v>
      </c>
      <c r="E52" s="594">
        <f t="shared" si="23"/>
        <v>405</v>
      </c>
      <c r="F52" s="594"/>
      <c r="G52" s="594">
        <v>405</v>
      </c>
      <c r="H52" s="594"/>
      <c r="I52" s="594">
        <f t="shared" si="19"/>
        <v>405</v>
      </c>
      <c r="J52" s="594"/>
      <c r="K52" s="594">
        <v>405</v>
      </c>
      <c r="L52" s="594"/>
      <c r="M52" s="594"/>
      <c r="N52" s="594">
        <f t="shared" si="25"/>
        <v>0</v>
      </c>
      <c r="O52" s="594"/>
      <c r="P52" s="594"/>
      <c r="Q52" s="594">
        <v>0</v>
      </c>
      <c r="R52" s="595">
        <f t="shared" si="5"/>
        <v>100</v>
      </c>
      <c r="S52" s="596"/>
      <c r="T52" s="595">
        <f t="shared" si="7"/>
        <v>100</v>
      </c>
      <c r="U52" s="572">
        <v>0</v>
      </c>
    </row>
    <row r="53" spans="1:21" ht="33.75" customHeight="1">
      <c r="A53" s="569">
        <v>21</v>
      </c>
      <c r="B53" s="570" t="s">
        <v>546</v>
      </c>
      <c r="C53" s="594">
        <f t="shared" si="20"/>
        <v>405</v>
      </c>
      <c r="D53" s="594">
        <v>0</v>
      </c>
      <c r="E53" s="594">
        <f t="shared" si="23"/>
        <v>405</v>
      </c>
      <c r="F53" s="594"/>
      <c r="G53" s="594">
        <v>405</v>
      </c>
      <c r="H53" s="594"/>
      <c r="I53" s="594">
        <f t="shared" si="19"/>
        <v>405</v>
      </c>
      <c r="J53" s="594"/>
      <c r="K53" s="594">
        <v>405</v>
      </c>
      <c r="L53" s="594"/>
      <c r="M53" s="594"/>
      <c r="N53" s="594">
        <f t="shared" si="25"/>
        <v>0</v>
      </c>
      <c r="O53" s="594"/>
      <c r="P53" s="594"/>
      <c r="Q53" s="594">
        <v>0</v>
      </c>
      <c r="R53" s="595">
        <f t="shared" si="5"/>
        <v>100</v>
      </c>
      <c r="S53" s="596"/>
      <c r="T53" s="595">
        <f t="shared" si="7"/>
        <v>100</v>
      </c>
      <c r="U53" s="572">
        <v>0</v>
      </c>
    </row>
    <row r="54" spans="1:21" s="375" customFormat="1" ht="33.75" customHeight="1">
      <c r="A54" s="569">
        <v>22</v>
      </c>
      <c r="B54" s="570" t="s">
        <v>547</v>
      </c>
      <c r="C54" s="594">
        <f t="shared" si="20"/>
        <v>405</v>
      </c>
      <c r="D54" s="594">
        <v>0</v>
      </c>
      <c r="E54" s="594">
        <f t="shared" si="23"/>
        <v>405</v>
      </c>
      <c r="F54" s="594"/>
      <c r="G54" s="594">
        <v>405</v>
      </c>
      <c r="H54" s="594"/>
      <c r="I54" s="594">
        <f t="shared" si="19"/>
        <v>405</v>
      </c>
      <c r="J54" s="594"/>
      <c r="K54" s="594">
        <v>405</v>
      </c>
      <c r="L54" s="594"/>
      <c r="M54" s="594"/>
      <c r="N54" s="594">
        <f t="shared" si="25"/>
        <v>0</v>
      </c>
      <c r="O54" s="594"/>
      <c r="P54" s="594"/>
      <c r="Q54" s="594">
        <v>0</v>
      </c>
      <c r="R54" s="595">
        <f t="shared" si="5"/>
        <v>100</v>
      </c>
      <c r="S54" s="596"/>
      <c r="T54" s="595">
        <f t="shared" si="7"/>
        <v>100</v>
      </c>
      <c r="U54" s="572">
        <v>0</v>
      </c>
    </row>
    <row r="55" spans="1:21" ht="33.75" customHeight="1">
      <c r="A55" s="569">
        <v>23</v>
      </c>
      <c r="B55" s="570" t="s">
        <v>548</v>
      </c>
      <c r="C55" s="594">
        <f t="shared" si="20"/>
        <v>405</v>
      </c>
      <c r="D55" s="594">
        <v>0</v>
      </c>
      <c r="E55" s="594">
        <f t="shared" si="23"/>
        <v>405</v>
      </c>
      <c r="F55" s="594"/>
      <c r="G55" s="594">
        <v>405</v>
      </c>
      <c r="H55" s="594"/>
      <c r="I55" s="594">
        <f t="shared" si="19"/>
        <v>405</v>
      </c>
      <c r="J55" s="594"/>
      <c r="K55" s="594">
        <v>405</v>
      </c>
      <c r="L55" s="594"/>
      <c r="M55" s="594"/>
      <c r="N55" s="594">
        <f t="shared" si="25"/>
        <v>0</v>
      </c>
      <c r="O55" s="594"/>
      <c r="P55" s="594"/>
      <c r="Q55" s="594">
        <v>0</v>
      </c>
      <c r="R55" s="595">
        <f t="shared" si="5"/>
        <v>100</v>
      </c>
      <c r="S55" s="596"/>
      <c r="T55" s="595">
        <f t="shared" si="7"/>
        <v>100</v>
      </c>
      <c r="U55" s="572">
        <v>0</v>
      </c>
    </row>
    <row r="56" spans="1:21" ht="33.75" customHeight="1">
      <c r="A56" s="569">
        <v>24</v>
      </c>
      <c r="B56" s="570" t="s">
        <v>549</v>
      </c>
      <c r="C56" s="594">
        <f t="shared" si="20"/>
        <v>405</v>
      </c>
      <c r="D56" s="594">
        <v>0</v>
      </c>
      <c r="E56" s="594">
        <f t="shared" si="23"/>
        <v>405</v>
      </c>
      <c r="F56" s="594"/>
      <c r="G56" s="594">
        <v>405</v>
      </c>
      <c r="H56" s="594"/>
      <c r="I56" s="594">
        <f t="shared" si="19"/>
        <v>405</v>
      </c>
      <c r="J56" s="594"/>
      <c r="K56" s="594">
        <v>405</v>
      </c>
      <c r="L56" s="594"/>
      <c r="M56" s="594"/>
      <c r="N56" s="594">
        <f t="shared" si="25"/>
        <v>0</v>
      </c>
      <c r="O56" s="594"/>
      <c r="P56" s="594"/>
      <c r="Q56" s="594">
        <v>0</v>
      </c>
      <c r="R56" s="595">
        <f t="shared" si="5"/>
        <v>100</v>
      </c>
      <c r="S56" s="596"/>
      <c r="T56" s="595">
        <f t="shared" si="7"/>
        <v>100</v>
      </c>
      <c r="U56" s="572">
        <v>0</v>
      </c>
    </row>
    <row r="57" spans="1:21" ht="33.75" customHeight="1">
      <c r="A57" s="569">
        <v>25</v>
      </c>
      <c r="B57" s="570" t="s">
        <v>550</v>
      </c>
      <c r="C57" s="594">
        <f t="shared" si="20"/>
        <v>405</v>
      </c>
      <c r="D57" s="594">
        <v>0</v>
      </c>
      <c r="E57" s="594">
        <f t="shared" si="23"/>
        <v>405</v>
      </c>
      <c r="F57" s="594"/>
      <c r="G57" s="594">
        <v>405</v>
      </c>
      <c r="H57" s="594"/>
      <c r="I57" s="594">
        <f t="shared" si="19"/>
        <v>405</v>
      </c>
      <c r="J57" s="594"/>
      <c r="K57" s="594">
        <v>405</v>
      </c>
      <c r="L57" s="594"/>
      <c r="M57" s="594"/>
      <c r="N57" s="594">
        <f t="shared" si="25"/>
        <v>0</v>
      </c>
      <c r="O57" s="594"/>
      <c r="P57" s="594"/>
      <c r="Q57" s="594">
        <v>0</v>
      </c>
      <c r="R57" s="595">
        <f t="shared" si="5"/>
        <v>100</v>
      </c>
      <c r="S57" s="596"/>
      <c r="T57" s="595">
        <f t="shared" si="7"/>
        <v>100</v>
      </c>
      <c r="U57" s="572">
        <v>0</v>
      </c>
    </row>
    <row r="58" spans="1:21" ht="33.75" customHeight="1">
      <c r="A58" s="573">
        <v>26</v>
      </c>
      <c r="B58" s="574" t="s">
        <v>551</v>
      </c>
      <c r="C58" s="601">
        <f t="shared" si="20"/>
        <v>405</v>
      </c>
      <c r="D58" s="601">
        <v>0</v>
      </c>
      <c r="E58" s="601">
        <f t="shared" si="23"/>
        <v>405</v>
      </c>
      <c r="F58" s="601"/>
      <c r="G58" s="601">
        <v>405</v>
      </c>
      <c r="H58" s="601"/>
      <c r="I58" s="601">
        <f t="shared" si="19"/>
        <v>405</v>
      </c>
      <c r="J58" s="601"/>
      <c r="K58" s="601">
        <v>405</v>
      </c>
      <c r="L58" s="601"/>
      <c r="M58" s="601"/>
      <c r="N58" s="601">
        <f t="shared" si="25"/>
        <v>0</v>
      </c>
      <c r="O58" s="601"/>
      <c r="P58" s="601"/>
      <c r="Q58" s="601">
        <v>0</v>
      </c>
      <c r="R58" s="602">
        <f t="shared" si="5"/>
        <v>100</v>
      </c>
      <c r="S58" s="626"/>
      <c r="T58" s="602">
        <f t="shared" si="7"/>
        <v>100</v>
      </c>
      <c r="U58" s="577">
        <v>0</v>
      </c>
    </row>
    <row r="59" spans="1:21" ht="33.75" customHeight="1">
      <c r="A59" s="534" t="s">
        <v>71</v>
      </c>
      <c r="B59" s="535" t="s">
        <v>430</v>
      </c>
      <c r="C59" s="519">
        <f>D59+E59</f>
        <v>23422</v>
      </c>
      <c r="D59" s="536"/>
      <c r="E59" s="519">
        <f>G59</f>
        <v>23422</v>
      </c>
      <c r="F59" s="521"/>
      <c r="G59" s="521">
        <v>23422</v>
      </c>
      <c r="H59" s="521"/>
      <c r="I59" s="519">
        <f>J59+K59+L59+M59+N59</f>
        <v>85</v>
      </c>
      <c r="J59" s="521"/>
      <c r="K59" s="521">
        <v>85</v>
      </c>
      <c r="L59" s="521"/>
      <c r="M59" s="521"/>
      <c r="N59" s="519">
        <f>O59+P59</f>
        <v>0</v>
      </c>
      <c r="O59" s="521"/>
      <c r="P59" s="521"/>
      <c r="Q59" s="521"/>
      <c r="R59" s="537">
        <f>K59/G59</f>
        <v>3.6290666894372814E-3</v>
      </c>
      <c r="S59" s="521"/>
      <c r="T59" s="520">
        <f t="shared" si="7"/>
        <v>0.36290666894372814</v>
      </c>
      <c r="U59" s="530"/>
    </row>
    <row r="60" spans="1:21" ht="33.75" customHeight="1">
      <c r="A60" s="523" t="s">
        <v>73</v>
      </c>
      <c r="B60" s="522" t="s">
        <v>380</v>
      </c>
      <c r="C60" s="519">
        <f t="shared" ref="C60:Q60" si="26">C61+C63</f>
        <v>568687</v>
      </c>
      <c r="D60" s="519">
        <f t="shared" si="26"/>
        <v>18124</v>
      </c>
      <c r="E60" s="519">
        <f t="shared" si="26"/>
        <v>550563</v>
      </c>
      <c r="F60" s="519">
        <f t="shared" si="26"/>
        <v>0</v>
      </c>
      <c r="G60" s="519">
        <f>G61+G63</f>
        <v>550563</v>
      </c>
      <c r="H60" s="519">
        <f t="shared" si="26"/>
        <v>0</v>
      </c>
      <c r="I60" s="519">
        <f t="shared" si="26"/>
        <v>499640.78</v>
      </c>
      <c r="J60" s="519">
        <f t="shared" si="26"/>
        <v>0</v>
      </c>
      <c r="K60" s="519">
        <f t="shared" si="26"/>
        <v>499640.78</v>
      </c>
      <c r="L60" s="519">
        <f t="shared" si="26"/>
        <v>0</v>
      </c>
      <c r="M60" s="519">
        <f t="shared" si="26"/>
        <v>0</v>
      </c>
      <c r="N60" s="519">
        <f t="shared" si="26"/>
        <v>0</v>
      </c>
      <c r="O60" s="519">
        <f t="shared" si="26"/>
        <v>0</v>
      </c>
      <c r="P60" s="519">
        <f t="shared" si="26"/>
        <v>0</v>
      </c>
      <c r="Q60" s="519">
        <f t="shared" si="26"/>
        <v>24959</v>
      </c>
      <c r="R60" s="520">
        <f t="shared" si="5"/>
        <v>87.858660387875943</v>
      </c>
      <c r="S60" s="521"/>
      <c r="T60" s="520">
        <f t="shared" si="7"/>
        <v>92.247542145327756</v>
      </c>
      <c r="U60" s="530">
        <v>0</v>
      </c>
    </row>
    <row r="61" spans="1:21" ht="33.75" customHeight="1">
      <c r="A61" s="523" t="s">
        <v>444</v>
      </c>
      <c r="B61" s="522" t="s">
        <v>381</v>
      </c>
      <c r="C61" s="519">
        <f>+D61+E61</f>
        <v>530568</v>
      </c>
      <c r="D61" s="519">
        <f t="shared" ref="D61:Q61" si="27">SUM(D62:D62)</f>
        <v>17788</v>
      </c>
      <c r="E61" s="519">
        <f t="shared" si="27"/>
        <v>512780</v>
      </c>
      <c r="F61" s="519">
        <f t="shared" si="27"/>
        <v>0</v>
      </c>
      <c r="G61" s="519">
        <f>SUM(G62:G62)</f>
        <v>512780</v>
      </c>
      <c r="H61" s="519">
        <f t="shared" si="27"/>
        <v>0</v>
      </c>
      <c r="I61" s="519">
        <f t="shared" si="27"/>
        <v>471660</v>
      </c>
      <c r="J61" s="519">
        <f t="shared" si="27"/>
        <v>0</v>
      </c>
      <c r="K61" s="519">
        <f t="shared" si="27"/>
        <v>471660</v>
      </c>
      <c r="L61" s="519">
        <f t="shared" si="27"/>
        <v>0</v>
      </c>
      <c r="M61" s="519">
        <f t="shared" si="27"/>
        <v>0</v>
      </c>
      <c r="N61" s="519">
        <f t="shared" si="27"/>
        <v>0</v>
      </c>
      <c r="O61" s="519">
        <f t="shared" si="27"/>
        <v>0</v>
      </c>
      <c r="P61" s="519">
        <f t="shared" si="27"/>
        <v>0</v>
      </c>
      <c r="Q61" s="519">
        <f t="shared" si="27"/>
        <v>23275</v>
      </c>
      <c r="R61" s="520">
        <f>I61/C61*100</f>
        <v>88.897181888089747</v>
      </c>
      <c r="S61" s="521"/>
      <c r="T61" s="520">
        <f t="shared" si="7"/>
        <v>93.283989988088237</v>
      </c>
      <c r="U61" s="530">
        <v>0</v>
      </c>
    </row>
    <row r="62" spans="1:21" ht="33.75" customHeight="1">
      <c r="A62" s="524">
        <v>1</v>
      </c>
      <c r="B62" s="538" t="s">
        <v>468</v>
      </c>
      <c r="C62" s="526">
        <f>D62+E62</f>
        <v>530568</v>
      </c>
      <c r="D62" s="526">
        <v>17788</v>
      </c>
      <c r="E62" s="526">
        <f>G62+H62</f>
        <v>512780</v>
      </c>
      <c r="F62" s="526">
        <v>0</v>
      </c>
      <c r="G62" s="526">
        <v>512780</v>
      </c>
      <c r="H62" s="526"/>
      <c r="I62" s="526">
        <f>J62+K62+L62+M62+N62</f>
        <v>471660</v>
      </c>
      <c r="J62" s="526">
        <v>0</v>
      </c>
      <c r="K62" s="526">
        <v>471660</v>
      </c>
      <c r="L62" s="526">
        <v>0</v>
      </c>
      <c r="M62" s="526">
        <v>0</v>
      </c>
      <c r="N62" s="526">
        <v>0</v>
      </c>
      <c r="O62" s="526">
        <v>0</v>
      </c>
      <c r="P62" s="526">
        <v>0</v>
      </c>
      <c r="Q62" s="526">
        <v>23275</v>
      </c>
      <c r="R62" s="527">
        <f>I62/C62*100</f>
        <v>88.897181888089747</v>
      </c>
      <c r="S62" s="528"/>
      <c r="T62" s="527">
        <f t="shared" si="7"/>
        <v>93.283989988088237</v>
      </c>
      <c r="U62" s="529">
        <v>0</v>
      </c>
    </row>
    <row r="63" spans="1:21" ht="33.75" customHeight="1">
      <c r="A63" s="523" t="s">
        <v>445</v>
      </c>
      <c r="B63" s="522" t="s">
        <v>382</v>
      </c>
      <c r="C63" s="519">
        <f>D63+E63</f>
        <v>38119</v>
      </c>
      <c r="D63" s="519">
        <f>SUM(D64:D65)</f>
        <v>336</v>
      </c>
      <c r="E63" s="519">
        <f t="shared" ref="E63:P63" si="28">SUM(E64:E65)</f>
        <v>37783</v>
      </c>
      <c r="F63" s="519">
        <f t="shared" si="28"/>
        <v>0</v>
      </c>
      <c r="G63" s="519">
        <f>SUM(G64:G65)</f>
        <v>37783</v>
      </c>
      <c r="H63" s="519">
        <f t="shared" si="28"/>
        <v>0</v>
      </c>
      <c r="I63" s="519">
        <f>SUM(I64:I65)</f>
        <v>27980.78</v>
      </c>
      <c r="J63" s="519">
        <f t="shared" si="28"/>
        <v>0</v>
      </c>
      <c r="K63" s="519">
        <f>SUM(K64:K65)</f>
        <v>27980.78</v>
      </c>
      <c r="L63" s="519">
        <f t="shared" si="28"/>
        <v>0</v>
      </c>
      <c r="M63" s="519">
        <f t="shared" si="28"/>
        <v>0</v>
      </c>
      <c r="N63" s="519">
        <f t="shared" si="28"/>
        <v>0</v>
      </c>
      <c r="O63" s="519">
        <f t="shared" si="28"/>
        <v>0</v>
      </c>
      <c r="P63" s="519">
        <f t="shared" si="28"/>
        <v>0</v>
      </c>
      <c r="Q63" s="519">
        <f>SUM(Q64:Q65)</f>
        <v>1684</v>
      </c>
      <c r="R63" s="520">
        <f t="shared" si="5"/>
        <v>73.403761903512674</v>
      </c>
      <c r="S63" s="521"/>
      <c r="T63" s="520">
        <f t="shared" si="7"/>
        <v>77.82150633542328</v>
      </c>
      <c r="U63" s="530">
        <v>0</v>
      </c>
    </row>
    <row r="64" spans="1:21" s="358" customFormat="1" ht="33.75" customHeight="1">
      <c r="A64" s="587">
        <v>1</v>
      </c>
      <c r="B64" s="567" t="s">
        <v>469</v>
      </c>
      <c r="C64" s="589">
        <f>D64+E64</f>
        <v>22047</v>
      </c>
      <c r="D64" s="589">
        <v>278</v>
      </c>
      <c r="E64" s="589">
        <f>F64+G64+H64</f>
        <v>21769</v>
      </c>
      <c r="F64" s="589"/>
      <c r="G64" s="589">
        <v>21769</v>
      </c>
      <c r="H64" s="589"/>
      <c r="I64" s="589">
        <f t="shared" ref="I64:I65" si="29">J64+K64+L64+M64+N64</f>
        <v>19773</v>
      </c>
      <c r="J64" s="589"/>
      <c r="K64" s="589">
        <v>19773</v>
      </c>
      <c r="L64" s="589"/>
      <c r="M64" s="589"/>
      <c r="N64" s="589">
        <f>O64+P64</f>
        <v>0</v>
      </c>
      <c r="O64" s="589"/>
      <c r="P64" s="589"/>
      <c r="Q64" s="589">
        <v>1582</v>
      </c>
      <c r="R64" s="590">
        <f t="shared" si="5"/>
        <v>89.685671519934687</v>
      </c>
      <c r="S64" s="591"/>
      <c r="T64" s="590">
        <f t="shared" si="7"/>
        <v>96.861250963849955</v>
      </c>
      <c r="U64" s="568">
        <v>0</v>
      </c>
    </row>
    <row r="65" spans="1:21" ht="34.5" customHeight="1">
      <c r="A65" s="598">
        <v>2</v>
      </c>
      <c r="B65" s="576" t="s">
        <v>552</v>
      </c>
      <c r="C65" s="600">
        <f>D65+E65</f>
        <v>16072</v>
      </c>
      <c r="D65" s="601">
        <v>58</v>
      </c>
      <c r="E65" s="600">
        <f>F65+G65+H65</f>
        <v>16014</v>
      </c>
      <c r="F65" s="601"/>
      <c r="G65" s="601">
        <v>16014</v>
      </c>
      <c r="H65" s="601"/>
      <c r="I65" s="601">
        <f t="shared" si="29"/>
        <v>8207.7800000000007</v>
      </c>
      <c r="J65" s="601"/>
      <c r="K65" s="601">
        <v>8207.7800000000007</v>
      </c>
      <c r="L65" s="601"/>
      <c r="M65" s="601"/>
      <c r="N65" s="601">
        <v>0</v>
      </c>
      <c r="O65" s="601"/>
      <c r="P65" s="601"/>
      <c r="Q65" s="601">
        <v>102</v>
      </c>
      <c r="R65" s="577">
        <f t="shared" si="5"/>
        <v>51.068815331010455</v>
      </c>
      <c r="S65" s="626"/>
      <c r="T65" s="602">
        <f t="shared" si="7"/>
        <v>51.703459432553508</v>
      </c>
      <c r="U65" s="577">
        <v>0</v>
      </c>
    </row>
    <row r="66" spans="1:21" ht="34.5" customHeight="1">
      <c r="A66" s="523" t="s">
        <v>79</v>
      </c>
      <c r="B66" s="522" t="s">
        <v>383</v>
      </c>
      <c r="C66" s="519">
        <f>+D66+E66</f>
        <v>157546.345</v>
      </c>
      <c r="D66" s="519">
        <f>SUM(D67:D76)</f>
        <v>60807.404999999999</v>
      </c>
      <c r="E66" s="519">
        <f>SUM(E67:E76)</f>
        <v>96738.94</v>
      </c>
      <c r="F66" s="519">
        <f t="shared" ref="F66:K66" si="30">SUM(F67:F76)</f>
        <v>0</v>
      </c>
      <c r="G66" s="519">
        <f t="shared" si="30"/>
        <v>96738.94</v>
      </c>
      <c r="H66" s="519">
        <f t="shared" si="30"/>
        <v>0</v>
      </c>
      <c r="I66" s="519">
        <f t="shared" si="30"/>
        <v>78683.399000000005</v>
      </c>
      <c r="J66" s="519">
        <f t="shared" si="30"/>
        <v>0</v>
      </c>
      <c r="K66" s="519">
        <f t="shared" si="30"/>
        <v>78683.399000000005</v>
      </c>
      <c r="L66" s="519">
        <f t="shared" ref="L66:Q66" si="31">SUM(L67:L75)</f>
        <v>0</v>
      </c>
      <c r="M66" s="519">
        <f t="shared" si="31"/>
        <v>0</v>
      </c>
      <c r="N66" s="519">
        <f t="shared" si="31"/>
        <v>0</v>
      </c>
      <c r="O66" s="519">
        <f t="shared" si="31"/>
        <v>0</v>
      </c>
      <c r="P66" s="519">
        <f t="shared" si="31"/>
        <v>0</v>
      </c>
      <c r="Q66" s="519">
        <f t="shared" si="31"/>
        <v>1392.7979999999998</v>
      </c>
      <c r="R66" s="520">
        <f>I66/C66*100</f>
        <v>49.943017719643066</v>
      </c>
      <c r="S66" s="521"/>
      <c r="T66" s="520">
        <f>(K66+Q66)/(D66+G66)*100</f>
        <v>50.827073773117363</v>
      </c>
      <c r="U66" s="530"/>
    </row>
    <row r="67" spans="1:21" s="358" customFormat="1" ht="34.5" customHeight="1">
      <c r="A67" s="587">
        <v>1</v>
      </c>
      <c r="B67" s="567" t="s">
        <v>384</v>
      </c>
      <c r="C67" s="627">
        <f t="shared" ref="C67:C76" si="32">D67+E67</f>
        <v>2147.94</v>
      </c>
      <c r="D67" s="627">
        <v>0</v>
      </c>
      <c r="E67" s="627">
        <f>F67+G67+H67</f>
        <v>2147.94</v>
      </c>
      <c r="F67" s="627"/>
      <c r="G67" s="627">
        <f>500+1421.46+226.48</f>
        <v>2147.94</v>
      </c>
      <c r="H67" s="627">
        <v>0</v>
      </c>
      <c r="I67" s="589">
        <f>J67+K67+L67+M67+N67</f>
        <v>1874.7660000000001</v>
      </c>
      <c r="J67" s="627"/>
      <c r="K67" s="627">
        <f>1421.46+226.48+226.826</f>
        <v>1874.7660000000001</v>
      </c>
      <c r="L67" s="627"/>
      <c r="M67" s="627"/>
      <c r="N67" s="627">
        <f t="shared" ref="N67:N75" si="33">O67+P67</f>
        <v>0</v>
      </c>
      <c r="O67" s="627"/>
      <c r="P67" s="627"/>
      <c r="Q67" s="627">
        <v>0</v>
      </c>
      <c r="R67" s="568">
        <f t="shared" si="5"/>
        <v>87.282046984552636</v>
      </c>
      <c r="S67" s="567"/>
      <c r="T67" s="568">
        <f t="shared" si="7"/>
        <v>87.282046984552636</v>
      </c>
      <c r="U67" s="568">
        <v>0</v>
      </c>
    </row>
    <row r="68" spans="1:21" ht="34.5" customHeight="1">
      <c r="A68" s="592">
        <f>A67+1</f>
        <v>2</v>
      </c>
      <c r="B68" s="571" t="s">
        <v>385</v>
      </c>
      <c r="C68" s="597">
        <f t="shared" si="32"/>
        <v>3822.268</v>
      </c>
      <c r="D68" s="597">
        <v>86.268000000000001</v>
      </c>
      <c r="E68" s="597">
        <f t="shared" ref="E68:E76" si="34">F68+G68+H68</f>
        <v>3736</v>
      </c>
      <c r="F68" s="597"/>
      <c r="G68" s="597">
        <f>3750-14</f>
        <v>3736</v>
      </c>
      <c r="H68" s="597">
        <v>0</v>
      </c>
      <c r="I68" s="594">
        <f>J68+K68+L68+M68+N68</f>
        <v>2407.4630000000002</v>
      </c>
      <c r="J68" s="597"/>
      <c r="K68" s="597">
        <v>2407.4630000000002</v>
      </c>
      <c r="L68" s="597"/>
      <c r="M68" s="597"/>
      <c r="N68" s="597">
        <f t="shared" si="33"/>
        <v>0</v>
      </c>
      <c r="O68" s="597"/>
      <c r="P68" s="597">
        <v>0</v>
      </c>
      <c r="Q68" s="597">
        <v>60.051000000000002</v>
      </c>
      <c r="R68" s="572">
        <f t="shared" si="5"/>
        <v>62.985196223812679</v>
      </c>
      <c r="S68" s="571"/>
      <c r="T68" s="572">
        <f t="shared" si="7"/>
        <v>64.556279151540394</v>
      </c>
      <c r="U68" s="572">
        <v>0</v>
      </c>
    </row>
    <row r="69" spans="1:21" ht="34.5" customHeight="1">
      <c r="A69" s="592">
        <v>3</v>
      </c>
      <c r="B69" s="571" t="s">
        <v>386</v>
      </c>
      <c r="C69" s="597">
        <f t="shared" si="32"/>
        <v>12892.047</v>
      </c>
      <c r="D69" s="597">
        <v>184.047</v>
      </c>
      <c r="E69" s="597">
        <f t="shared" si="34"/>
        <v>12708</v>
      </c>
      <c r="F69" s="597"/>
      <c r="G69" s="597">
        <v>12708</v>
      </c>
      <c r="H69" s="597">
        <v>0</v>
      </c>
      <c r="I69" s="594">
        <f t="shared" ref="I69:I78" si="35">J69+K69+L69+M69+N69</f>
        <v>7838</v>
      </c>
      <c r="J69" s="597"/>
      <c r="K69" s="597">
        <v>7838</v>
      </c>
      <c r="L69" s="597"/>
      <c r="M69" s="597"/>
      <c r="N69" s="597">
        <f t="shared" si="33"/>
        <v>0</v>
      </c>
      <c r="O69" s="597"/>
      <c r="P69" s="597"/>
      <c r="Q69" s="597">
        <v>573.59299999999996</v>
      </c>
      <c r="R69" s="572">
        <f t="shared" si="5"/>
        <v>60.797172086015507</v>
      </c>
      <c r="S69" s="571"/>
      <c r="T69" s="572">
        <f t="shared" si="7"/>
        <v>65.246372434106078</v>
      </c>
      <c r="U69" s="572">
        <v>0</v>
      </c>
    </row>
    <row r="70" spans="1:21" ht="34.5" customHeight="1">
      <c r="A70" s="592">
        <v>4</v>
      </c>
      <c r="B70" s="571" t="s">
        <v>387</v>
      </c>
      <c r="C70" s="597">
        <f t="shared" si="32"/>
        <v>67995.937000000005</v>
      </c>
      <c r="D70" s="597">
        <v>37930.936999999998</v>
      </c>
      <c r="E70" s="597">
        <f t="shared" si="34"/>
        <v>30065</v>
      </c>
      <c r="F70" s="597"/>
      <c r="G70" s="597">
        <v>30065</v>
      </c>
      <c r="H70" s="597"/>
      <c r="I70" s="594">
        <f t="shared" si="35"/>
        <v>21974.916000000001</v>
      </c>
      <c r="J70" s="597"/>
      <c r="K70" s="597">
        <v>21974.916000000001</v>
      </c>
      <c r="L70" s="597"/>
      <c r="M70" s="597"/>
      <c r="N70" s="597">
        <f t="shared" si="33"/>
        <v>0</v>
      </c>
      <c r="O70" s="597"/>
      <c r="P70" s="597"/>
      <c r="Q70" s="597">
        <v>267.44799999999998</v>
      </c>
      <c r="R70" s="572">
        <f t="shared" si="5"/>
        <v>32.317983940716928</v>
      </c>
      <c r="S70" s="571"/>
      <c r="T70" s="572">
        <f t="shared" si="7"/>
        <v>32.711313324500551</v>
      </c>
      <c r="U70" s="572">
        <v>0</v>
      </c>
    </row>
    <row r="71" spans="1:21" ht="34.5" customHeight="1">
      <c r="A71" s="592">
        <v>5</v>
      </c>
      <c r="B71" s="571" t="s">
        <v>388</v>
      </c>
      <c r="C71" s="597">
        <f t="shared" si="32"/>
        <v>4009.1529999999998</v>
      </c>
      <c r="D71" s="597">
        <v>171.15299999999999</v>
      </c>
      <c r="E71" s="597">
        <f t="shared" si="34"/>
        <v>3838</v>
      </c>
      <c r="F71" s="597"/>
      <c r="G71" s="597">
        <f>3855-17</f>
        <v>3838</v>
      </c>
      <c r="H71" s="597">
        <v>0</v>
      </c>
      <c r="I71" s="594">
        <f t="shared" si="35"/>
        <v>3715</v>
      </c>
      <c r="J71" s="597"/>
      <c r="K71" s="597">
        <v>3715</v>
      </c>
      <c r="L71" s="597"/>
      <c r="M71" s="597"/>
      <c r="N71" s="597">
        <f t="shared" si="33"/>
        <v>0</v>
      </c>
      <c r="O71" s="597"/>
      <c r="P71" s="597">
        <v>0</v>
      </c>
      <c r="Q71" s="597">
        <v>219.691</v>
      </c>
      <c r="R71" s="572">
        <f t="shared" si="5"/>
        <v>92.662963972689496</v>
      </c>
      <c r="S71" s="571"/>
      <c r="T71" s="572">
        <f t="shared" si="7"/>
        <v>98.142699966800976</v>
      </c>
      <c r="U71" s="572">
        <v>0</v>
      </c>
    </row>
    <row r="72" spans="1:21" ht="34.5" customHeight="1">
      <c r="A72" s="592">
        <v>6</v>
      </c>
      <c r="B72" s="571" t="s">
        <v>389</v>
      </c>
      <c r="C72" s="597">
        <f t="shared" si="32"/>
        <v>3140</v>
      </c>
      <c r="D72" s="597">
        <v>265</v>
      </c>
      <c r="E72" s="597">
        <f t="shared" si="34"/>
        <v>2875</v>
      </c>
      <c r="F72" s="597"/>
      <c r="G72" s="597">
        <f>2893-18</f>
        <v>2875</v>
      </c>
      <c r="H72" s="597">
        <v>0</v>
      </c>
      <c r="I72" s="594">
        <f t="shared" si="35"/>
        <v>2660.58</v>
      </c>
      <c r="J72" s="597"/>
      <c r="K72" s="597">
        <v>2660.58</v>
      </c>
      <c r="L72" s="597"/>
      <c r="M72" s="597"/>
      <c r="N72" s="597">
        <f t="shared" si="33"/>
        <v>0</v>
      </c>
      <c r="O72" s="597"/>
      <c r="P72" s="597">
        <v>0</v>
      </c>
      <c r="Q72" s="597">
        <v>272.01499999999999</v>
      </c>
      <c r="R72" s="572">
        <f t="shared" si="5"/>
        <v>84.731847133757967</v>
      </c>
      <c r="S72" s="571"/>
      <c r="T72" s="572">
        <f t="shared" si="7"/>
        <v>93.394745222929927</v>
      </c>
      <c r="U72" s="572">
        <v>0</v>
      </c>
    </row>
    <row r="73" spans="1:21" ht="34.5" customHeight="1">
      <c r="A73" s="592">
        <v>7</v>
      </c>
      <c r="B73" s="571" t="s">
        <v>431</v>
      </c>
      <c r="C73" s="597">
        <f t="shared" si="32"/>
        <v>9500</v>
      </c>
      <c r="D73" s="597">
        <v>0</v>
      </c>
      <c r="E73" s="597">
        <f t="shared" si="34"/>
        <v>9500</v>
      </c>
      <c r="F73" s="597"/>
      <c r="G73" s="571">
        <v>9500</v>
      </c>
      <c r="H73" s="597">
        <v>0</v>
      </c>
      <c r="I73" s="594">
        <f t="shared" si="35"/>
        <v>3980</v>
      </c>
      <c r="J73" s="597"/>
      <c r="K73" s="597">
        <v>3980</v>
      </c>
      <c r="L73" s="597"/>
      <c r="M73" s="597"/>
      <c r="N73" s="597">
        <f t="shared" si="33"/>
        <v>0</v>
      </c>
      <c r="O73" s="597"/>
      <c r="P73" s="597"/>
      <c r="Q73" s="597">
        <v>0</v>
      </c>
      <c r="R73" s="572">
        <f t="shared" si="5"/>
        <v>41.89473684210526</v>
      </c>
      <c r="S73" s="571"/>
      <c r="T73" s="572">
        <f t="shared" si="7"/>
        <v>41.89473684210526</v>
      </c>
      <c r="U73" s="572">
        <v>0</v>
      </c>
    </row>
    <row r="74" spans="1:21" s="358" customFormat="1" ht="33.75" customHeight="1">
      <c r="A74" s="592">
        <v>8</v>
      </c>
      <c r="B74" s="571" t="s">
        <v>390</v>
      </c>
      <c r="C74" s="597">
        <f t="shared" si="32"/>
        <v>1309</v>
      </c>
      <c r="D74" s="597">
        <v>0</v>
      </c>
      <c r="E74" s="597">
        <f t="shared" si="34"/>
        <v>1309</v>
      </c>
      <c r="F74" s="597"/>
      <c r="G74" s="597">
        <v>1309</v>
      </c>
      <c r="H74" s="597"/>
      <c r="I74" s="594">
        <f t="shared" si="35"/>
        <v>1255</v>
      </c>
      <c r="J74" s="597"/>
      <c r="K74" s="597">
        <v>1255</v>
      </c>
      <c r="L74" s="597"/>
      <c r="M74" s="597"/>
      <c r="N74" s="597">
        <f t="shared" si="33"/>
        <v>0</v>
      </c>
      <c r="O74" s="597"/>
      <c r="P74" s="597"/>
      <c r="Q74" s="597">
        <v>0</v>
      </c>
      <c r="R74" s="572">
        <f t="shared" si="5"/>
        <v>95.87471352177235</v>
      </c>
      <c r="S74" s="571"/>
      <c r="T74" s="572">
        <f t="shared" si="7"/>
        <v>95.87471352177235</v>
      </c>
      <c r="U74" s="572">
        <v>0</v>
      </c>
    </row>
    <row r="75" spans="1:21" ht="44.25" customHeight="1">
      <c r="A75" s="592">
        <v>9</v>
      </c>
      <c r="B75" s="571" t="s">
        <v>391</v>
      </c>
      <c r="C75" s="597">
        <f t="shared" si="32"/>
        <v>52130</v>
      </c>
      <c r="D75" s="597">
        <v>22170</v>
      </c>
      <c r="E75" s="597">
        <f t="shared" si="34"/>
        <v>29960</v>
      </c>
      <c r="F75" s="597"/>
      <c r="G75" s="597">
        <v>29960</v>
      </c>
      <c r="H75" s="597"/>
      <c r="I75" s="594">
        <f t="shared" si="35"/>
        <v>32499.679</v>
      </c>
      <c r="J75" s="597"/>
      <c r="K75" s="597">
        <v>32499.679</v>
      </c>
      <c r="L75" s="597"/>
      <c r="M75" s="597"/>
      <c r="N75" s="597">
        <f t="shared" si="33"/>
        <v>0</v>
      </c>
      <c r="O75" s="597"/>
      <c r="P75" s="597"/>
      <c r="Q75" s="597"/>
      <c r="R75" s="572">
        <f t="shared" si="5"/>
        <v>62.34352388260119</v>
      </c>
      <c r="S75" s="571"/>
      <c r="T75" s="572">
        <f t="shared" si="7"/>
        <v>62.34352388260119</v>
      </c>
      <c r="U75" s="572">
        <v>0</v>
      </c>
    </row>
    <row r="76" spans="1:21" s="358" customFormat="1" ht="33.75" customHeight="1">
      <c r="A76" s="598">
        <v>10</v>
      </c>
      <c r="B76" s="576" t="s">
        <v>553</v>
      </c>
      <c r="C76" s="600">
        <f t="shared" si="32"/>
        <v>600</v>
      </c>
      <c r="D76" s="600">
        <v>0</v>
      </c>
      <c r="E76" s="600">
        <f t="shared" si="34"/>
        <v>600</v>
      </c>
      <c r="F76" s="600"/>
      <c r="G76" s="600">
        <v>600</v>
      </c>
      <c r="H76" s="600"/>
      <c r="I76" s="601">
        <f t="shared" si="35"/>
        <v>477.995</v>
      </c>
      <c r="J76" s="600"/>
      <c r="K76" s="600">
        <v>477.995</v>
      </c>
      <c r="L76" s="600"/>
      <c r="M76" s="600"/>
      <c r="N76" s="600"/>
      <c r="O76" s="600"/>
      <c r="P76" s="600"/>
      <c r="Q76" s="600"/>
      <c r="R76" s="577">
        <f t="shared" si="5"/>
        <v>79.665833333333339</v>
      </c>
      <c r="S76" s="576"/>
      <c r="T76" s="577">
        <f t="shared" si="7"/>
        <v>79.665833333333339</v>
      </c>
      <c r="U76" s="577">
        <v>0</v>
      </c>
    </row>
    <row r="77" spans="1:21" ht="33.75" customHeight="1">
      <c r="A77" s="523" t="s">
        <v>80</v>
      </c>
      <c r="B77" s="539" t="s">
        <v>392</v>
      </c>
      <c r="C77" s="519">
        <f>+D77+E77</f>
        <v>50983</v>
      </c>
      <c r="D77" s="519">
        <f>SUM(D78:D78)</f>
        <v>28862</v>
      </c>
      <c r="E77" s="519">
        <f>+F77+G77</f>
        <v>22121</v>
      </c>
      <c r="F77" s="519">
        <f t="shared" ref="F77:Q77" si="36">SUM(F78:F78)</f>
        <v>0</v>
      </c>
      <c r="G77" s="519">
        <f t="shared" si="36"/>
        <v>22121</v>
      </c>
      <c r="H77" s="519">
        <f t="shared" si="36"/>
        <v>0</v>
      </c>
      <c r="I77" s="519">
        <f t="shared" si="35"/>
        <v>9510</v>
      </c>
      <c r="J77" s="519">
        <f t="shared" si="36"/>
        <v>0</v>
      </c>
      <c r="K77" s="519">
        <f t="shared" si="36"/>
        <v>9510</v>
      </c>
      <c r="L77" s="519">
        <f t="shared" si="36"/>
        <v>0</v>
      </c>
      <c r="M77" s="519">
        <f t="shared" si="36"/>
        <v>0</v>
      </c>
      <c r="N77" s="519">
        <f t="shared" si="36"/>
        <v>0</v>
      </c>
      <c r="O77" s="519">
        <f t="shared" si="36"/>
        <v>0</v>
      </c>
      <c r="P77" s="519">
        <f t="shared" si="36"/>
        <v>0</v>
      </c>
      <c r="Q77" s="519">
        <f t="shared" si="36"/>
        <v>30111</v>
      </c>
      <c r="R77" s="520">
        <f>I77/C77*100</f>
        <v>18.653276582390209</v>
      </c>
      <c r="S77" s="521"/>
      <c r="T77" s="520">
        <f t="shared" si="7"/>
        <v>77.714140007453466</v>
      </c>
      <c r="U77" s="530"/>
    </row>
    <row r="78" spans="1:21" ht="33.75" customHeight="1">
      <c r="A78" s="524">
        <v>1</v>
      </c>
      <c r="B78" s="538" t="s">
        <v>393</v>
      </c>
      <c r="C78" s="526">
        <f>+D78+E78</f>
        <v>50983</v>
      </c>
      <c r="D78" s="526">
        <v>28862</v>
      </c>
      <c r="E78" s="526">
        <f>+F78+G78</f>
        <v>22121</v>
      </c>
      <c r="F78" s="526">
        <f>SUM(F79:F80)</f>
        <v>0</v>
      </c>
      <c r="G78" s="526">
        <v>22121</v>
      </c>
      <c r="H78" s="526">
        <f t="shared" ref="H78:P78" si="37">SUM(H79:H80)</f>
        <v>0</v>
      </c>
      <c r="I78" s="526">
        <f t="shared" si="35"/>
        <v>9510</v>
      </c>
      <c r="J78" s="526">
        <f t="shared" si="37"/>
        <v>0</v>
      </c>
      <c r="K78" s="526">
        <v>9510</v>
      </c>
      <c r="L78" s="526">
        <f t="shared" si="37"/>
        <v>0</v>
      </c>
      <c r="M78" s="526">
        <f t="shared" si="37"/>
        <v>0</v>
      </c>
      <c r="N78" s="526">
        <f t="shared" si="37"/>
        <v>0</v>
      </c>
      <c r="O78" s="526">
        <f t="shared" si="37"/>
        <v>0</v>
      </c>
      <c r="P78" s="526">
        <f t="shared" si="37"/>
        <v>0</v>
      </c>
      <c r="Q78" s="526">
        <v>30111</v>
      </c>
      <c r="R78" s="527">
        <f>I78/C78*100</f>
        <v>18.653276582390209</v>
      </c>
      <c r="S78" s="531"/>
      <c r="T78" s="529">
        <f t="shared" si="7"/>
        <v>77.714140007453466</v>
      </c>
      <c r="U78" s="529">
        <v>0</v>
      </c>
    </row>
    <row r="79" spans="1:21" ht="33.75" customHeight="1">
      <c r="A79" s="523" t="s">
        <v>81</v>
      </c>
      <c r="B79" s="539" t="s">
        <v>394</v>
      </c>
      <c r="C79" s="519">
        <f>D79+E79</f>
        <v>125352.327</v>
      </c>
      <c r="D79" s="519">
        <f>SUM(D80:D85)</f>
        <v>6490.3720000000003</v>
      </c>
      <c r="E79" s="519">
        <f>+F79+G79</f>
        <v>118861.955</v>
      </c>
      <c r="F79" s="519">
        <f>SUM(F80:F85)</f>
        <v>0</v>
      </c>
      <c r="G79" s="519">
        <f>SUM(G80:G85)</f>
        <v>118861.955</v>
      </c>
      <c r="H79" s="519">
        <f t="shared" ref="H79:Q79" si="38">SUM(H80:H85)</f>
        <v>0</v>
      </c>
      <c r="I79" s="519">
        <f t="shared" si="38"/>
        <v>99503.043999999994</v>
      </c>
      <c r="J79" s="519">
        <f t="shared" si="38"/>
        <v>0</v>
      </c>
      <c r="K79" s="519">
        <f t="shared" si="38"/>
        <v>99503.043999999994</v>
      </c>
      <c r="L79" s="519">
        <f t="shared" si="38"/>
        <v>0</v>
      </c>
      <c r="M79" s="519">
        <f t="shared" si="38"/>
        <v>0</v>
      </c>
      <c r="N79" s="519">
        <f t="shared" si="38"/>
        <v>0</v>
      </c>
      <c r="O79" s="519">
        <f t="shared" si="38"/>
        <v>0</v>
      </c>
      <c r="P79" s="519">
        <f t="shared" si="38"/>
        <v>0</v>
      </c>
      <c r="Q79" s="519">
        <f t="shared" si="38"/>
        <v>10560.58</v>
      </c>
      <c r="R79" s="520">
        <f>I79/C79*100</f>
        <v>79.37869713419839</v>
      </c>
      <c r="S79" s="521"/>
      <c r="T79" s="520">
        <f t="shared" si="7"/>
        <v>87.80341508937444</v>
      </c>
      <c r="U79" s="530">
        <v>0</v>
      </c>
    </row>
    <row r="80" spans="1:21" ht="33.75" customHeight="1">
      <c r="A80" s="587">
        <v>1</v>
      </c>
      <c r="B80" s="628" t="s">
        <v>446</v>
      </c>
      <c r="C80" s="589">
        <f>+D80+E80</f>
        <v>16908.955000000002</v>
      </c>
      <c r="D80" s="589"/>
      <c r="E80" s="589">
        <f>+G80</f>
        <v>16908.955000000002</v>
      </c>
      <c r="F80" s="589"/>
      <c r="G80" s="589">
        <f>4108.955+11000+1800</f>
        <v>16908.955000000002</v>
      </c>
      <c r="H80" s="589"/>
      <c r="I80" s="589">
        <f t="shared" ref="I80:I85" si="39">J80+K80+L80+M80+N80</f>
        <v>14938.763999999999</v>
      </c>
      <c r="J80" s="589"/>
      <c r="K80" s="589">
        <f>3248.764+10685+1005</f>
        <v>14938.763999999999</v>
      </c>
      <c r="L80" s="589"/>
      <c r="M80" s="589"/>
      <c r="N80" s="589"/>
      <c r="O80" s="589"/>
      <c r="P80" s="589">
        <v>0</v>
      </c>
      <c r="Q80" s="589">
        <v>0</v>
      </c>
      <c r="R80" s="590">
        <f t="shared" ref="R80:R137" si="40">I80/C80*100</f>
        <v>88.348239143104919</v>
      </c>
      <c r="S80" s="591"/>
      <c r="T80" s="590">
        <f t="shared" si="7"/>
        <v>88.348239143104919</v>
      </c>
      <c r="U80" s="568">
        <v>0</v>
      </c>
    </row>
    <row r="81" spans="1:21" s="358" customFormat="1" ht="33.75" customHeight="1">
      <c r="A81" s="592">
        <v>2</v>
      </c>
      <c r="B81" s="629" t="s">
        <v>395</v>
      </c>
      <c r="C81" s="594">
        <f>+D81+E81</f>
        <v>3567</v>
      </c>
      <c r="D81" s="594">
        <v>19</v>
      </c>
      <c r="E81" s="594">
        <f t="shared" ref="E81:E85" si="41">+G81</f>
        <v>3548</v>
      </c>
      <c r="F81" s="594"/>
      <c r="G81" s="594">
        <v>3548</v>
      </c>
      <c r="H81" s="594"/>
      <c r="I81" s="594">
        <f t="shared" si="39"/>
        <v>3429.933</v>
      </c>
      <c r="J81" s="594"/>
      <c r="K81" s="594">
        <v>3429.933</v>
      </c>
      <c r="L81" s="594"/>
      <c r="M81" s="594"/>
      <c r="N81" s="594"/>
      <c r="O81" s="594"/>
      <c r="P81" s="594"/>
      <c r="Q81" s="594">
        <v>450.94799999999998</v>
      </c>
      <c r="R81" s="595">
        <f t="shared" si="40"/>
        <v>96.157359125315395</v>
      </c>
      <c r="S81" s="596"/>
      <c r="T81" s="595">
        <f t="shared" si="7"/>
        <v>108.79957947855341</v>
      </c>
      <c r="U81" s="572">
        <v>0</v>
      </c>
    </row>
    <row r="82" spans="1:21" s="358" customFormat="1" ht="33.75" customHeight="1">
      <c r="A82" s="592">
        <v>3</v>
      </c>
      <c r="B82" s="629" t="s">
        <v>447</v>
      </c>
      <c r="C82" s="594">
        <f t="shared" ref="C82:C85" si="42">+D82+E82</f>
        <v>7042.3720000000003</v>
      </c>
      <c r="D82" s="594">
        <v>299.37200000000001</v>
      </c>
      <c r="E82" s="594">
        <f t="shared" si="41"/>
        <v>6743</v>
      </c>
      <c r="F82" s="594"/>
      <c r="G82" s="594">
        <v>6743</v>
      </c>
      <c r="H82" s="594">
        <v>0</v>
      </c>
      <c r="I82" s="594">
        <f t="shared" si="39"/>
        <v>6039.5</v>
      </c>
      <c r="J82" s="594"/>
      <c r="K82" s="594">
        <v>6039.5</v>
      </c>
      <c r="L82" s="594"/>
      <c r="M82" s="594"/>
      <c r="N82" s="594"/>
      <c r="O82" s="594"/>
      <c r="P82" s="594"/>
      <c r="Q82" s="594">
        <v>397.94799999999998</v>
      </c>
      <c r="R82" s="595">
        <f t="shared" si="40"/>
        <v>85.759457182892348</v>
      </c>
      <c r="S82" s="596"/>
      <c r="T82" s="595">
        <f t="shared" si="7"/>
        <v>91.410223714396238</v>
      </c>
      <c r="U82" s="572">
        <v>0</v>
      </c>
    </row>
    <row r="83" spans="1:21" ht="33.6" customHeight="1">
      <c r="A83" s="592">
        <v>4</v>
      </c>
      <c r="B83" s="629" t="s">
        <v>396</v>
      </c>
      <c r="C83" s="594">
        <f t="shared" si="42"/>
        <v>15109</v>
      </c>
      <c r="D83" s="594">
        <v>48</v>
      </c>
      <c r="E83" s="594">
        <f t="shared" si="41"/>
        <v>15061</v>
      </c>
      <c r="F83" s="594"/>
      <c r="G83" s="594">
        <v>15061</v>
      </c>
      <c r="H83" s="594"/>
      <c r="I83" s="594">
        <f t="shared" si="39"/>
        <v>9261.8469999999998</v>
      </c>
      <c r="J83" s="594"/>
      <c r="K83" s="594">
        <v>9261.8469999999998</v>
      </c>
      <c r="L83" s="594"/>
      <c r="M83" s="594"/>
      <c r="N83" s="594"/>
      <c r="O83" s="594"/>
      <c r="P83" s="594"/>
      <c r="Q83" s="594">
        <v>20</v>
      </c>
      <c r="R83" s="595">
        <f t="shared" si="40"/>
        <v>61.300198557151361</v>
      </c>
      <c r="S83" s="596"/>
      <c r="T83" s="595">
        <f t="shared" si="7"/>
        <v>61.432569991395859</v>
      </c>
      <c r="U83" s="572">
        <v>0</v>
      </c>
    </row>
    <row r="84" spans="1:21" ht="33.75" customHeight="1">
      <c r="A84" s="592">
        <v>5</v>
      </c>
      <c r="B84" s="629" t="s">
        <v>448</v>
      </c>
      <c r="C84" s="594">
        <f t="shared" si="42"/>
        <v>9372</v>
      </c>
      <c r="D84" s="594">
        <v>35</v>
      </c>
      <c r="E84" s="594">
        <f t="shared" si="41"/>
        <v>9337</v>
      </c>
      <c r="F84" s="594"/>
      <c r="G84" s="594">
        <v>9337</v>
      </c>
      <c r="H84" s="594"/>
      <c r="I84" s="594">
        <f t="shared" si="39"/>
        <v>8072</v>
      </c>
      <c r="J84" s="594"/>
      <c r="K84" s="594">
        <v>8072</v>
      </c>
      <c r="L84" s="594"/>
      <c r="M84" s="594"/>
      <c r="N84" s="594"/>
      <c r="O84" s="594"/>
      <c r="P84" s="594"/>
      <c r="Q84" s="594">
        <v>127.691</v>
      </c>
      <c r="R84" s="595">
        <f t="shared" si="40"/>
        <v>86.128894579598807</v>
      </c>
      <c r="S84" s="596"/>
      <c r="T84" s="595">
        <f t="shared" si="7"/>
        <v>87.491367904396071</v>
      </c>
      <c r="U84" s="572">
        <v>0</v>
      </c>
    </row>
    <row r="85" spans="1:21" ht="33.75" customHeight="1">
      <c r="A85" s="598">
        <v>6</v>
      </c>
      <c r="B85" s="630" t="s">
        <v>397</v>
      </c>
      <c r="C85" s="601">
        <f t="shared" si="42"/>
        <v>73353</v>
      </c>
      <c r="D85" s="601">
        <v>6089</v>
      </c>
      <c r="E85" s="601">
        <f t="shared" si="41"/>
        <v>67264</v>
      </c>
      <c r="F85" s="601"/>
      <c r="G85" s="601">
        <v>67264</v>
      </c>
      <c r="H85" s="601"/>
      <c r="I85" s="601">
        <f t="shared" si="39"/>
        <v>57761</v>
      </c>
      <c r="J85" s="601"/>
      <c r="K85" s="601">
        <v>57761</v>
      </c>
      <c r="L85" s="601"/>
      <c r="M85" s="601"/>
      <c r="N85" s="601"/>
      <c r="O85" s="601"/>
      <c r="P85" s="601"/>
      <c r="Q85" s="601">
        <v>9563.9930000000004</v>
      </c>
      <c r="R85" s="602">
        <f t="shared" si="40"/>
        <v>78.743882322468068</v>
      </c>
      <c r="S85" s="626"/>
      <c r="T85" s="602">
        <f t="shared" si="7"/>
        <v>91.782194320614025</v>
      </c>
      <c r="U85" s="577">
        <v>0</v>
      </c>
    </row>
    <row r="86" spans="1:21" ht="33.75" customHeight="1">
      <c r="A86" s="523" t="s">
        <v>136</v>
      </c>
      <c r="B86" s="539" t="s">
        <v>449</v>
      </c>
      <c r="C86" s="519">
        <f>D86+E86</f>
        <v>122015</v>
      </c>
      <c r="D86" s="519">
        <f>+D87</f>
        <v>6960</v>
      </c>
      <c r="E86" s="519">
        <f>+F86+G86</f>
        <v>115055</v>
      </c>
      <c r="F86" s="519">
        <f>+F87</f>
        <v>0</v>
      </c>
      <c r="G86" s="519">
        <f>+G87</f>
        <v>115055</v>
      </c>
      <c r="H86" s="519">
        <f t="shared" ref="H86:Q86" si="43">+H87</f>
        <v>0</v>
      </c>
      <c r="I86" s="519">
        <f t="shared" si="43"/>
        <v>80548</v>
      </c>
      <c r="J86" s="519">
        <f t="shared" si="43"/>
        <v>0</v>
      </c>
      <c r="K86" s="519">
        <f t="shared" si="43"/>
        <v>80548</v>
      </c>
      <c r="L86" s="519">
        <f t="shared" si="43"/>
        <v>0</v>
      </c>
      <c r="M86" s="519">
        <f t="shared" si="43"/>
        <v>0</v>
      </c>
      <c r="N86" s="519">
        <f t="shared" si="43"/>
        <v>0</v>
      </c>
      <c r="O86" s="519">
        <f t="shared" si="43"/>
        <v>0</v>
      </c>
      <c r="P86" s="519">
        <f t="shared" si="43"/>
        <v>0</v>
      </c>
      <c r="Q86" s="519">
        <f t="shared" si="43"/>
        <v>273</v>
      </c>
      <c r="R86" s="520">
        <f t="shared" si="40"/>
        <v>66.014834241691602</v>
      </c>
      <c r="S86" s="519">
        <f>+S87</f>
        <v>0</v>
      </c>
      <c r="T86" s="520">
        <f t="shared" si="7"/>
        <v>66.238577224111793</v>
      </c>
      <c r="U86" s="530">
        <f>+U87</f>
        <v>0</v>
      </c>
    </row>
    <row r="87" spans="1:21" ht="33.75" customHeight="1">
      <c r="A87" s="533">
        <v>1</v>
      </c>
      <c r="B87" s="454" t="s">
        <v>432</v>
      </c>
      <c r="C87" s="526">
        <f>D87+E87</f>
        <v>122015</v>
      </c>
      <c r="D87" s="528">
        <v>6960</v>
      </c>
      <c r="E87" s="526">
        <f>G87</f>
        <v>115055</v>
      </c>
      <c r="F87" s="528"/>
      <c r="G87" s="528">
        <v>115055</v>
      </c>
      <c r="H87" s="528">
        <v>0</v>
      </c>
      <c r="I87" s="526">
        <f>J87+K87+L87+M87+N87</f>
        <v>80548</v>
      </c>
      <c r="J87" s="528"/>
      <c r="K87" s="528">
        <v>80548</v>
      </c>
      <c r="L87" s="528"/>
      <c r="M87" s="528"/>
      <c r="N87" s="526"/>
      <c r="O87" s="528"/>
      <c r="P87" s="528">
        <v>0</v>
      </c>
      <c r="Q87" s="528">
        <f>265+8</f>
        <v>273</v>
      </c>
      <c r="R87" s="527">
        <f t="shared" si="40"/>
        <v>66.014834241691602</v>
      </c>
      <c r="S87" s="540"/>
      <c r="T87" s="527">
        <f t="shared" si="7"/>
        <v>66.238577224111793</v>
      </c>
      <c r="U87" s="529">
        <v>0</v>
      </c>
    </row>
    <row r="88" spans="1:21" ht="33.75" customHeight="1">
      <c r="A88" s="523" t="s">
        <v>137</v>
      </c>
      <c r="B88" s="522" t="s">
        <v>398</v>
      </c>
      <c r="C88" s="519">
        <f>E88+D88</f>
        <v>70450</v>
      </c>
      <c r="D88" s="519">
        <f>SUM(D89:D92)</f>
        <v>128</v>
      </c>
      <c r="E88" s="519">
        <f>+F88+G88</f>
        <v>70322</v>
      </c>
      <c r="F88" s="519">
        <f>SUM(F89:F92)</f>
        <v>0</v>
      </c>
      <c r="G88" s="519">
        <f>SUM(G89:G92)</f>
        <v>70322</v>
      </c>
      <c r="H88" s="519">
        <f t="shared" ref="H88:Q88" si="44">SUM(H89:H92)</f>
        <v>0</v>
      </c>
      <c r="I88" s="519">
        <f t="shared" si="44"/>
        <v>49376</v>
      </c>
      <c r="J88" s="519">
        <f t="shared" si="44"/>
        <v>0</v>
      </c>
      <c r="K88" s="519">
        <f t="shared" si="44"/>
        <v>49376</v>
      </c>
      <c r="L88" s="519">
        <f t="shared" si="44"/>
        <v>0</v>
      </c>
      <c r="M88" s="519">
        <f t="shared" si="44"/>
        <v>0</v>
      </c>
      <c r="N88" s="519">
        <f t="shared" si="44"/>
        <v>0</v>
      </c>
      <c r="O88" s="519">
        <f t="shared" si="44"/>
        <v>0</v>
      </c>
      <c r="P88" s="519">
        <f t="shared" si="44"/>
        <v>0</v>
      </c>
      <c r="Q88" s="519">
        <f t="shared" si="44"/>
        <v>19025</v>
      </c>
      <c r="R88" s="520">
        <f t="shared" si="40"/>
        <v>70.086586231369765</v>
      </c>
      <c r="S88" s="521"/>
      <c r="T88" s="520">
        <f t="shared" si="7"/>
        <v>97.091554293825411</v>
      </c>
      <c r="U88" s="530"/>
    </row>
    <row r="89" spans="1:21" ht="33.75" customHeight="1">
      <c r="A89" s="564">
        <v>1</v>
      </c>
      <c r="B89" s="603" t="s">
        <v>399</v>
      </c>
      <c r="C89" s="627">
        <f>D89+E89</f>
        <v>42028</v>
      </c>
      <c r="D89" s="565">
        <v>0</v>
      </c>
      <c r="E89" s="627">
        <f>F89+G89+H89</f>
        <v>42028</v>
      </c>
      <c r="F89" s="567"/>
      <c r="G89" s="567">
        <v>42028</v>
      </c>
      <c r="H89" s="567">
        <v>0</v>
      </c>
      <c r="I89" s="589">
        <f t="shared" ref="I89:I92" si="45">J89+K89+L89+M89+N89</f>
        <v>21410</v>
      </c>
      <c r="J89" s="567"/>
      <c r="K89" s="567">
        <v>21410</v>
      </c>
      <c r="L89" s="567"/>
      <c r="M89" s="567"/>
      <c r="N89" s="627">
        <f>O89+P89</f>
        <v>0</v>
      </c>
      <c r="O89" s="567"/>
      <c r="P89" s="567"/>
      <c r="Q89" s="567">
        <v>18700</v>
      </c>
      <c r="R89" s="568">
        <f>I89/C89*100</f>
        <v>50.942228990197016</v>
      </c>
      <c r="S89" s="567"/>
      <c r="T89" s="590">
        <f t="shared" si="7"/>
        <v>95.436375749500328</v>
      </c>
      <c r="U89" s="568">
        <v>0</v>
      </c>
    </row>
    <row r="90" spans="1:21" ht="33.75" customHeight="1">
      <c r="A90" s="569">
        <v>2</v>
      </c>
      <c r="B90" s="606" t="s">
        <v>450</v>
      </c>
      <c r="C90" s="594">
        <f>D90+E90</f>
        <v>21567</v>
      </c>
      <c r="D90" s="624">
        <v>71</v>
      </c>
      <c r="E90" s="594">
        <f>G90</f>
        <v>21496</v>
      </c>
      <c r="F90" s="596"/>
      <c r="G90" s="596">
        <v>21496</v>
      </c>
      <c r="H90" s="596">
        <v>0</v>
      </c>
      <c r="I90" s="594">
        <f t="shared" si="45"/>
        <v>21405</v>
      </c>
      <c r="J90" s="596"/>
      <c r="K90" s="596">
        <v>21405</v>
      </c>
      <c r="L90" s="596"/>
      <c r="M90" s="596"/>
      <c r="N90" s="594"/>
      <c r="O90" s="596"/>
      <c r="P90" s="596">
        <v>0</v>
      </c>
      <c r="Q90" s="596">
        <v>33</v>
      </c>
      <c r="R90" s="595">
        <f t="shared" ref="R90:R92" si="46">I90/C90*100</f>
        <v>99.248852413409367</v>
      </c>
      <c r="S90" s="596"/>
      <c r="T90" s="595">
        <f t="shared" si="7"/>
        <v>99.401863958825984</v>
      </c>
      <c r="U90" s="572">
        <v>0</v>
      </c>
    </row>
    <row r="91" spans="1:21" ht="33.75" customHeight="1">
      <c r="A91" s="569">
        <v>3</v>
      </c>
      <c r="B91" s="606" t="s">
        <v>451</v>
      </c>
      <c r="C91" s="594">
        <f>D91+E91</f>
        <v>5235</v>
      </c>
      <c r="D91" s="624">
        <v>35</v>
      </c>
      <c r="E91" s="594">
        <f>G91</f>
        <v>5200</v>
      </c>
      <c r="F91" s="596"/>
      <c r="G91" s="596">
        <v>5200</v>
      </c>
      <c r="H91" s="596"/>
      <c r="I91" s="594">
        <f t="shared" si="45"/>
        <v>5062</v>
      </c>
      <c r="J91" s="596"/>
      <c r="K91" s="596">
        <v>5062</v>
      </c>
      <c r="L91" s="596"/>
      <c r="M91" s="596"/>
      <c r="N91" s="594"/>
      <c r="O91" s="596"/>
      <c r="P91" s="596"/>
      <c r="Q91" s="596">
        <v>173</v>
      </c>
      <c r="R91" s="595">
        <f t="shared" si="46"/>
        <v>96.695319961795605</v>
      </c>
      <c r="S91" s="596"/>
      <c r="T91" s="595">
        <f t="shared" si="7"/>
        <v>100</v>
      </c>
      <c r="U91" s="572">
        <v>0</v>
      </c>
    </row>
    <row r="92" spans="1:21" ht="33.75" customHeight="1">
      <c r="A92" s="573">
        <v>4</v>
      </c>
      <c r="B92" s="631" t="s">
        <v>452</v>
      </c>
      <c r="C92" s="601">
        <f>D92+E92</f>
        <v>1620</v>
      </c>
      <c r="D92" s="632">
        <v>22</v>
      </c>
      <c r="E92" s="601">
        <f>G92</f>
        <v>1598</v>
      </c>
      <c r="F92" s="626"/>
      <c r="G92" s="626">
        <v>1598</v>
      </c>
      <c r="H92" s="626"/>
      <c r="I92" s="601">
        <f t="shared" si="45"/>
        <v>1499</v>
      </c>
      <c r="J92" s="626"/>
      <c r="K92" s="626">
        <v>1499</v>
      </c>
      <c r="L92" s="626"/>
      <c r="M92" s="626"/>
      <c r="N92" s="601"/>
      <c r="O92" s="626"/>
      <c r="P92" s="626">
        <v>0</v>
      </c>
      <c r="Q92" s="626">
        <v>119</v>
      </c>
      <c r="R92" s="602">
        <f t="shared" si="46"/>
        <v>92.53086419753086</v>
      </c>
      <c r="S92" s="626"/>
      <c r="T92" s="602">
        <f t="shared" si="7"/>
        <v>99.876543209876544</v>
      </c>
      <c r="U92" s="577">
        <v>0</v>
      </c>
    </row>
    <row r="93" spans="1:21" s="363" customFormat="1" ht="33.75" customHeight="1">
      <c r="A93" s="523" t="s">
        <v>138</v>
      </c>
      <c r="B93" s="522" t="s">
        <v>400</v>
      </c>
      <c r="C93" s="519">
        <f>C94+C120+C121+C125</f>
        <v>511752.37994300004</v>
      </c>
      <c r="D93" s="519">
        <f>D94+D120+D121+D125</f>
        <v>41954.949943</v>
      </c>
      <c r="E93" s="519">
        <f>+F93+G93+H93</f>
        <v>469797.43</v>
      </c>
      <c r="F93" s="519">
        <f t="shared" ref="F93:Q93" si="47">F94+F120+F121+F125</f>
        <v>0</v>
      </c>
      <c r="G93" s="519">
        <f t="shared" si="47"/>
        <v>427881.43</v>
      </c>
      <c r="H93" s="519">
        <f t="shared" si="47"/>
        <v>41916</v>
      </c>
      <c r="I93" s="519">
        <f t="shared" si="47"/>
        <v>383687.27070200001</v>
      </c>
      <c r="J93" s="519">
        <f t="shared" si="47"/>
        <v>0</v>
      </c>
      <c r="K93" s="519">
        <f t="shared" si="47"/>
        <v>382175.21070200001</v>
      </c>
      <c r="L93" s="519">
        <f t="shared" si="47"/>
        <v>0</v>
      </c>
      <c r="M93" s="519">
        <f t="shared" si="47"/>
        <v>0</v>
      </c>
      <c r="N93" s="519">
        <f t="shared" si="47"/>
        <v>1512.06</v>
      </c>
      <c r="O93" s="519">
        <f t="shared" si="47"/>
        <v>0</v>
      </c>
      <c r="P93" s="519">
        <f t="shared" si="47"/>
        <v>1512.06</v>
      </c>
      <c r="Q93" s="519">
        <f t="shared" si="47"/>
        <v>32308.136204000002</v>
      </c>
      <c r="R93" s="520">
        <f t="shared" si="40"/>
        <v>74.975180524756098</v>
      </c>
      <c r="S93" s="519">
        <f>S94+S120+S121+S125</f>
        <v>0</v>
      </c>
      <c r="T93" s="520">
        <f t="shared" si="7"/>
        <v>88.218657515683361</v>
      </c>
      <c r="U93" s="530">
        <f>N93/H93*100</f>
        <v>3.607357572287432</v>
      </c>
    </row>
    <row r="94" spans="1:21" ht="33.75" customHeight="1">
      <c r="A94" s="523" t="s">
        <v>453</v>
      </c>
      <c r="B94" s="522" t="s">
        <v>401</v>
      </c>
      <c r="C94" s="519">
        <f t="shared" ref="C94" si="48">SUM(C95:C119)</f>
        <v>329377.27484600001</v>
      </c>
      <c r="D94" s="519">
        <f>SUM(D95:D119)</f>
        <v>11570.844846000002</v>
      </c>
      <c r="E94" s="519">
        <f>SUM(E95:E119)</f>
        <v>317806.43</v>
      </c>
      <c r="F94" s="519">
        <f t="shared" ref="F94:Q94" si="49">SUM(F95:F118)</f>
        <v>0</v>
      </c>
      <c r="G94" s="519">
        <f>SUM(G95:G119)</f>
        <v>279255.43</v>
      </c>
      <c r="H94" s="519">
        <f t="shared" si="49"/>
        <v>38551</v>
      </c>
      <c r="I94" s="519">
        <f t="shared" si="49"/>
        <v>250997.15199099999</v>
      </c>
      <c r="J94" s="519">
        <f t="shared" si="49"/>
        <v>0</v>
      </c>
      <c r="K94" s="519">
        <f t="shared" si="49"/>
        <v>249485.09199099999</v>
      </c>
      <c r="L94" s="519">
        <f t="shared" si="49"/>
        <v>0</v>
      </c>
      <c r="M94" s="519">
        <f t="shared" si="49"/>
        <v>0</v>
      </c>
      <c r="N94" s="519">
        <f t="shared" si="49"/>
        <v>1512.06</v>
      </c>
      <c r="O94" s="519">
        <f t="shared" si="49"/>
        <v>0</v>
      </c>
      <c r="P94" s="519">
        <f t="shared" si="49"/>
        <v>1512.06</v>
      </c>
      <c r="Q94" s="519">
        <f t="shared" si="49"/>
        <v>14752.207000000002</v>
      </c>
      <c r="R94" s="520">
        <f t="shared" si="40"/>
        <v>76.203542611843346</v>
      </c>
      <c r="S94" s="519"/>
      <c r="T94" s="520">
        <f t="shared" si="7"/>
        <v>90.857436842981414</v>
      </c>
      <c r="U94" s="530">
        <f>N94/H94*100</f>
        <v>3.9222328863064511</v>
      </c>
    </row>
    <row r="95" spans="1:21" ht="33.75" customHeight="1">
      <c r="A95" s="564">
        <v>1</v>
      </c>
      <c r="B95" s="565" t="s">
        <v>331</v>
      </c>
      <c r="C95" s="605">
        <f t="shared" ref="C95:C97" si="50">D95+E95</f>
        <v>10886</v>
      </c>
      <c r="D95" s="633">
        <v>71</v>
      </c>
      <c r="E95" s="589">
        <f>SUM(F95:H95)</f>
        <v>10815</v>
      </c>
      <c r="F95" s="591"/>
      <c r="G95" s="591">
        <f>10815-1334-244-2992-566</f>
        <v>5679</v>
      </c>
      <c r="H95" s="591">
        <f>10815-G95</f>
        <v>5136</v>
      </c>
      <c r="I95" s="589">
        <f t="shared" ref="I95:I97" si="51">J95+K95+L95+M95+N95</f>
        <v>5198</v>
      </c>
      <c r="J95" s="591"/>
      <c r="K95" s="591">
        <v>5198</v>
      </c>
      <c r="L95" s="591"/>
      <c r="M95" s="591"/>
      <c r="N95" s="589">
        <v>0</v>
      </c>
      <c r="O95" s="591"/>
      <c r="P95" s="591">
        <v>0</v>
      </c>
      <c r="Q95" s="591">
        <f>16+51+23</f>
        <v>90</v>
      </c>
      <c r="R95" s="590">
        <f t="shared" si="40"/>
        <v>47.749402902810949</v>
      </c>
      <c r="S95" s="591"/>
      <c r="T95" s="590">
        <f t="shared" si="7"/>
        <v>91.96521739130435</v>
      </c>
      <c r="U95" s="568">
        <f>P95/H95</f>
        <v>0</v>
      </c>
    </row>
    <row r="96" spans="1:21" ht="33.75" customHeight="1">
      <c r="A96" s="569">
        <v>2</v>
      </c>
      <c r="B96" s="606" t="s">
        <v>329</v>
      </c>
      <c r="C96" s="607">
        <f t="shared" si="50"/>
        <v>16474</v>
      </c>
      <c r="D96" s="594">
        <v>123</v>
      </c>
      <c r="E96" s="594">
        <f>SUM(F96:H96)</f>
        <v>16351</v>
      </c>
      <c r="F96" s="596"/>
      <c r="G96" s="596">
        <f>3592+32+3170+8107</f>
        <v>14901</v>
      </c>
      <c r="H96" s="596">
        <v>1450</v>
      </c>
      <c r="I96" s="594">
        <f t="shared" si="51"/>
        <v>13009</v>
      </c>
      <c r="J96" s="596"/>
      <c r="K96" s="596">
        <v>12614</v>
      </c>
      <c r="L96" s="596"/>
      <c r="M96" s="596"/>
      <c r="N96" s="594">
        <f t="shared" ref="N96" si="52">+O96+P96</f>
        <v>395</v>
      </c>
      <c r="O96" s="596"/>
      <c r="P96" s="596">
        <f>146+249</f>
        <v>395</v>
      </c>
      <c r="Q96" s="596">
        <f>39+2132+1000-1055</f>
        <v>2116</v>
      </c>
      <c r="R96" s="595">
        <f t="shared" si="40"/>
        <v>78.966856865363596</v>
      </c>
      <c r="S96" s="596"/>
      <c r="T96" s="595">
        <f t="shared" ref="T96:T144" si="53">(K96+Q96)/(D96+G96)*100</f>
        <v>98.043130990415335</v>
      </c>
      <c r="U96" s="572">
        <f>P96/H96*100</f>
        <v>27.241379310344826</v>
      </c>
    </row>
    <row r="97" spans="1:21" ht="33.75" customHeight="1">
      <c r="A97" s="569">
        <v>3</v>
      </c>
      <c r="B97" s="629" t="s">
        <v>403</v>
      </c>
      <c r="C97" s="607">
        <f t="shared" si="50"/>
        <v>8440.8649509999996</v>
      </c>
      <c r="D97" s="634">
        <v>70.014950999999996</v>
      </c>
      <c r="E97" s="634">
        <f>F97+G97+H97</f>
        <v>8370.85</v>
      </c>
      <c r="F97" s="634"/>
      <c r="G97" s="634">
        <v>8370.85</v>
      </c>
      <c r="H97" s="634"/>
      <c r="I97" s="634">
        <f t="shared" si="51"/>
        <v>7785.5188879999996</v>
      </c>
      <c r="J97" s="634"/>
      <c r="K97" s="634">
        <v>7785.5188879999996</v>
      </c>
      <c r="L97" s="634"/>
      <c r="M97" s="634"/>
      <c r="N97" s="634"/>
      <c r="O97" s="634"/>
      <c r="P97" s="634"/>
      <c r="Q97" s="634"/>
      <c r="R97" s="634">
        <f>I97/C97*100</f>
        <v>92.236031890045098</v>
      </c>
      <c r="S97" s="635"/>
      <c r="T97" s="595">
        <f t="shared" si="53"/>
        <v>92.236031890045098</v>
      </c>
      <c r="U97" s="572">
        <v>0</v>
      </c>
    </row>
    <row r="98" spans="1:21" ht="33.75" customHeight="1">
      <c r="A98" s="569">
        <v>4</v>
      </c>
      <c r="B98" s="629" t="s">
        <v>440</v>
      </c>
      <c r="C98" s="594">
        <f>D98+E98</f>
        <v>8996</v>
      </c>
      <c r="D98" s="594">
        <v>480</v>
      </c>
      <c r="E98" s="594">
        <f>G98+H98</f>
        <v>8516</v>
      </c>
      <c r="F98" s="594"/>
      <c r="G98" s="594">
        <v>8516</v>
      </c>
      <c r="H98" s="594">
        <v>0</v>
      </c>
      <c r="I98" s="594">
        <f>J98+K98+L98+M98+N98</f>
        <v>7977</v>
      </c>
      <c r="J98" s="594"/>
      <c r="K98" s="594">
        <v>7977</v>
      </c>
      <c r="L98" s="594"/>
      <c r="M98" s="594"/>
      <c r="N98" s="594"/>
      <c r="O98" s="594"/>
      <c r="P98" s="594"/>
      <c r="Q98" s="594">
        <v>879</v>
      </c>
      <c r="R98" s="595">
        <f>I98/C98*100</f>
        <v>88.672743441529562</v>
      </c>
      <c r="S98" s="596"/>
      <c r="T98" s="595">
        <f t="shared" si="53"/>
        <v>98.443752779012897</v>
      </c>
      <c r="U98" s="572">
        <v>0</v>
      </c>
    </row>
    <row r="99" spans="1:21" ht="33.75" customHeight="1">
      <c r="A99" s="569">
        <v>5</v>
      </c>
      <c r="B99" s="606" t="s">
        <v>454</v>
      </c>
      <c r="C99" s="607"/>
      <c r="D99" s="596"/>
      <c r="E99" s="594"/>
      <c r="F99" s="596"/>
      <c r="G99" s="636"/>
      <c r="H99" s="596"/>
      <c r="I99" s="594"/>
      <c r="J99" s="596"/>
      <c r="K99" s="596"/>
      <c r="L99" s="596"/>
      <c r="M99" s="596"/>
      <c r="N99" s="594"/>
      <c r="O99" s="596"/>
      <c r="P99" s="596"/>
      <c r="Q99" s="596"/>
      <c r="R99" s="607"/>
      <c r="S99" s="596"/>
      <c r="T99" s="595"/>
      <c r="U99" s="572">
        <v>0</v>
      </c>
    </row>
    <row r="100" spans="1:21" ht="33.75" customHeight="1">
      <c r="A100" s="608"/>
      <c r="B100" s="609" t="s">
        <v>554</v>
      </c>
      <c r="C100" s="613">
        <f t="shared" ref="C100:C112" si="54">D100+E100</f>
        <v>16333</v>
      </c>
      <c r="D100" s="612">
        <v>371</v>
      </c>
      <c r="E100" s="610">
        <f>F100+G100+H100</f>
        <v>15962</v>
      </c>
      <c r="F100" s="612"/>
      <c r="G100" s="612">
        <v>15962</v>
      </c>
      <c r="H100" s="612"/>
      <c r="I100" s="610">
        <f t="shared" ref="I100:I119" si="55">J100+K100+L100+M100+N100</f>
        <v>14921</v>
      </c>
      <c r="J100" s="612"/>
      <c r="K100" s="612">
        <v>14921</v>
      </c>
      <c r="L100" s="612"/>
      <c r="M100" s="612"/>
      <c r="N100" s="610">
        <f t="shared" ref="N100:N107" si="56">O100+P100</f>
        <v>0</v>
      </c>
      <c r="O100" s="612"/>
      <c r="P100" s="612"/>
      <c r="Q100" s="612">
        <f>321+471</f>
        <v>792</v>
      </c>
      <c r="R100" s="614">
        <f t="shared" ref="R100:R101" si="57">I100/C100*100</f>
        <v>91.354925610726738</v>
      </c>
      <c r="S100" s="612"/>
      <c r="T100" s="614">
        <f t="shared" si="53"/>
        <v>96.204004163350277</v>
      </c>
      <c r="U100" s="615">
        <v>0</v>
      </c>
    </row>
    <row r="101" spans="1:21" ht="33.75" customHeight="1">
      <c r="A101" s="608"/>
      <c r="B101" s="609" t="s">
        <v>379</v>
      </c>
      <c r="C101" s="613">
        <f t="shared" si="54"/>
        <v>2180</v>
      </c>
      <c r="D101" s="612">
        <v>6</v>
      </c>
      <c r="E101" s="610">
        <f t="shared" ref="E101:E108" si="58">F101+G101+H101</f>
        <v>2174</v>
      </c>
      <c r="F101" s="612"/>
      <c r="G101" s="612">
        <v>2174</v>
      </c>
      <c r="H101" s="612"/>
      <c r="I101" s="610">
        <f t="shared" si="55"/>
        <v>2013</v>
      </c>
      <c r="J101" s="612"/>
      <c r="K101" s="612">
        <v>2013</v>
      </c>
      <c r="L101" s="612"/>
      <c r="M101" s="612"/>
      <c r="N101" s="610"/>
      <c r="O101" s="612"/>
      <c r="P101" s="612"/>
      <c r="Q101" s="612">
        <v>69</v>
      </c>
      <c r="R101" s="614">
        <f t="shared" si="57"/>
        <v>92.339449541284395</v>
      </c>
      <c r="S101" s="612"/>
      <c r="T101" s="614">
        <f t="shared" si="53"/>
        <v>95.504587155963307</v>
      </c>
      <c r="U101" s="615">
        <v>0</v>
      </c>
    </row>
    <row r="102" spans="1:21" ht="33.75" customHeight="1">
      <c r="A102" s="608"/>
      <c r="B102" s="609" t="s">
        <v>555</v>
      </c>
      <c r="C102" s="613">
        <f t="shared" si="54"/>
        <v>300</v>
      </c>
      <c r="D102" s="612"/>
      <c r="E102" s="610">
        <f t="shared" si="58"/>
        <v>300</v>
      </c>
      <c r="F102" s="612"/>
      <c r="G102" s="612">
        <v>300</v>
      </c>
      <c r="H102" s="612"/>
      <c r="I102" s="610">
        <f t="shared" si="55"/>
        <v>280</v>
      </c>
      <c r="J102" s="612"/>
      <c r="K102" s="612">
        <v>280</v>
      </c>
      <c r="L102" s="612"/>
      <c r="M102" s="612"/>
      <c r="N102" s="610"/>
      <c r="O102" s="612"/>
      <c r="P102" s="612"/>
      <c r="Q102" s="612"/>
      <c r="R102" s="613"/>
      <c r="S102" s="612"/>
      <c r="T102" s="614">
        <f t="shared" si="53"/>
        <v>93.333333333333329</v>
      </c>
      <c r="U102" s="615">
        <v>0</v>
      </c>
    </row>
    <row r="103" spans="1:21" ht="33.75" customHeight="1">
      <c r="A103" s="569">
        <v>6</v>
      </c>
      <c r="B103" s="570" t="s">
        <v>404</v>
      </c>
      <c r="C103" s="607">
        <f t="shared" si="54"/>
        <v>9350</v>
      </c>
      <c r="D103" s="624">
        <v>730</v>
      </c>
      <c r="E103" s="594">
        <f t="shared" si="58"/>
        <v>8620</v>
      </c>
      <c r="F103" s="596"/>
      <c r="G103" s="596">
        <f>2327+47+6246</f>
        <v>8620</v>
      </c>
      <c r="H103" s="596"/>
      <c r="I103" s="594">
        <f t="shared" si="55"/>
        <v>8397</v>
      </c>
      <c r="J103" s="596"/>
      <c r="K103" s="596">
        <v>8397</v>
      </c>
      <c r="L103" s="596"/>
      <c r="M103" s="596"/>
      <c r="N103" s="594">
        <f t="shared" ref="N103" si="59">+O103+P103</f>
        <v>0</v>
      </c>
      <c r="O103" s="596"/>
      <c r="P103" s="596"/>
      <c r="Q103" s="596">
        <f>79+325</f>
        <v>404</v>
      </c>
      <c r="R103" s="607">
        <v>91</v>
      </c>
      <c r="S103" s="596"/>
      <c r="T103" s="595">
        <f t="shared" si="53"/>
        <v>94.128342245989302</v>
      </c>
      <c r="U103" s="572">
        <v>0</v>
      </c>
    </row>
    <row r="104" spans="1:21" s="358" customFormat="1" ht="33.75" customHeight="1">
      <c r="A104" s="569">
        <v>7</v>
      </c>
      <c r="B104" s="629" t="s">
        <v>393</v>
      </c>
      <c r="C104" s="607">
        <f t="shared" si="54"/>
        <v>6834</v>
      </c>
      <c r="D104" s="594">
        <v>124</v>
      </c>
      <c r="E104" s="594">
        <f t="shared" si="58"/>
        <v>6710</v>
      </c>
      <c r="F104" s="594"/>
      <c r="G104" s="594">
        <v>5710</v>
      </c>
      <c r="H104" s="594">
        <v>1000</v>
      </c>
      <c r="I104" s="594">
        <f t="shared" si="55"/>
        <v>4598</v>
      </c>
      <c r="J104" s="594"/>
      <c r="K104" s="594">
        <v>4598</v>
      </c>
      <c r="L104" s="594"/>
      <c r="M104" s="594"/>
      <c r="N104" s="594">
        <f t="shared" ref="N104" si="60">O104+P104</f>
        <v>0</v>
      </c>
      <c r="O104" s="594"/>
      <c r="P104" s="594"/>
      <c r="Q104" s="594">
        <v>317</v>
      </c>
      <c r="R104" s="595">
        <f>I104/C104*100</f>
        <v>67.281240854550774</v>
      </c>
      <c r="S104" s="596"/>
      <c r="T104" s="595">
        <f t="shared" si="53"/>
        <v>84.247514569763453</v>
      </c>
      <c r="U104" s="572">
        <v>0</v>
      </c>
    </row>
    <row r="105" spans="1:21" s="358" customFormat="1" ht="33.75" customHeight="1">
      <c r="A105" s="569">
        <v>8</v>
      </c>
      <c r="B105" s="606" t="s">
        <v>405</v>
      </c>
      <c r="C105" s="607">
        <f t="shared" si="54"/>
        <v>20180</v>
      </c>
      <c r="D105" s="624">
        <v>125</v>
      </c>
      <c r="E105" s="594">
        <f t="shared" si="58"/>
        <v>20055</v>
      </c>
      <c r="F105" s="596"/>
      <c r="G105" s="596">
        <f>62083-9806-42028</f>
        <v>10249</v>
      </c>
      <c r="H105" s="596">
        <f>356+2596+109+1564+2800+2381</f>
        <v>9806</v>
      </c>
      <c r="I105" s="594">
        <f t="shared" si="55"/>
        <v>8035</v>
      </c>
      <c r="J105" s="596"/>
      <c r="K105" s="596">
        <f>29445-K89</f>
        <v>8035</v>
      </c>
      <c r="L105" s="596"/>
      <c r="M105" s="596"/>
      <c r="N105" s="594">
        <f t="shared" si="56"/>
        <v>0</v>
      </c>
      <c r="O105" s="596"/>
      <c r="P105" s="596">
        <v>0</v>
      </c>
      <c r="Q105" s="596">
        <f>28506-Q89-H105</f>
        <v>0</v>
      </c>
      <c r="R105" s="595">
        <f>I105/C105*100</f>
        <v>39.816650148662042</v>
      </c>
      <c r="S105" s="596"/>
      <c r="T105" s="595">
        <f t="shared" si="53"/>
        <v>77.453248505880083</v>
      </c>
      <c r="U105" s="572">
        <v>0</v>
      </c>
    </row>
    <row r="106" spans="1:21" ht="33.75" customHeight="1">
      <c r="A106" s="569">
        <v>9</v>
      </c>
      <c r="B106" s="606" t="s">
        <v>334</v>
      </c>
      <c r="C106" s="607">
        <f t="shared" si="54"/>
        <v>30450.850895</v>
      </c>
      <c r="D106" s="607">
        <v>1213.850895</v>
      </c>
      <c r="E106" s="594">
        <f t="shared" si="58"/>
        <v>29237</v>
      </c>
      <c r="F106" s="596"/>
      <c r="G106" s="596">
        <f>29237-600</f>
        <v>28637</v>
      </c>
      <c r="H106" s="596">
        <v>600</v>
      </c>
      <c r="I106" s="594">
        <f t="shared" si="55"/>
        <v>23859.993103000001</v>
      </c>
      <c r="J106" s="596"/>
      <c r="K106" s="596">
        <v>23785.933102999999</v>
      </c>
      <c r="L106" s="596"/>
      <c r="M106" s="596"/>
      <c r="N106" s="594">
        <f t="shared" si="56"/>
        <v>74.06</v>
      </c>
      <c r="O106" s="596"/>
      <c r="P106" s="596">
        <v>74.06</v>
      </c>
      <c r="Q106" s="596">
        <v>1782</v>
      </c>
      <c r="R106" s="607">
        <v>96</v>
      </c>
      <c r="S106" s="596"/>
      <c r="T106" s="595">
        <f t="shared" si="53"/>
        <v>85.652275685322635</v>
      </c>
      <c r="U106" s="572">
        <f>P106/H106*100</f>
        <v>12.343333333333334</v>
      </c>
    </row>
    <row r="107" spans="1:21" s="364" customFormat="1" ht="33.75" customHeight="1">
      <c r="A107" s="569">
        <v>10</v>
      </c>
      <c r="B107" s="606" t="s">
        <v>406</v>
      </c>
      <c r="C107" s="607">
        <f t="shared" si="54"/>
        <v>29991</v>
      </c>
      <c r="D107" s="265">
        <v>2310</v>
      </c>
      <c r="E107" s="597">
        <f>F107+G107+H107</f>
        <v>27681</v>
      </c>
      <c r="F107" s="571"/>
      <c r="G107" s="571">
        <f>38084-5000-9720-10403-508</f>
        <v>12453</v>
      </c>
      <c r="H107" s="571">
        <f>5000+9720+508</f>
        <v>15228</v>
      </c>
      <c r="I107" s="594">
        <f t="shared" si="55"/>
        <v>12069</v>
      </c>
      <c r="J107" s="571"/>
      <c r="K107" s="571">
        <v>11114</v>
      </c>
      <c r="L107" s="571"/>
      <c r="M107" s="571"/>
      <c r="N107" s="597">
        <f t="shared" si="56"/>
        <v>955</v>
      </c>
      <c r="O107" s="571"/>
      <c r="P107" s="571">
        <f>590+365</f>
        <v>955</v>
      </c>
      <c r="Q107" s="571">
        <f>17095-14273</f>
        <v>2822</v>
      </c>
      <c r="R107" s="595">
        <f>I107/C107*100</f>
        <v>40.242072621786534</v>
      </c>
      <c r="S107" s="571"/>
      <c r="T107" s="595">
        <f>(K107+Q107)/(D107+G107)*100</f>
        <v>94.398157556052297</v>
      </c>
      <c r="U107" s="572">
        <f>P107/H107*100</f>
        <v>6.2713422642500651</v>
      </c>
    </row>
    <row r="108" spans="1:21" s="364" customFormat="1" ht="33.75" customHeight="1">
      <c r="A108" s="569">
        <v>11</v>
      </c>
      <c r="B108" s="637" t="s">
        <v>407</v>
      </c>
      <c r="C108" s="607">
        <f t="shared" si="54"/>
        <v>14939</v>
      </c>
      <c r="D108" s="607">
        <v>116</v>
      </c>
      <c r="E108" s="594">
        <f t="shared" si="58"/>
        <v>14823</v>
      </c>
      <c r="F108" s="638"/>
      <c r="G108" s="607">
        <v>14823</v>
      </c>
      <c r="H108" s="638"/>
      <c r="I108" s="594">
        <f t="shared" si="55"/>
        <v>12978</v>
      </c>
      <c r="J108" s="638"/>
      <c r="K108" s="607">
        <v>12978</v>
      </c>
      <c r="L108" s="638"/>
      <c r="M108" s="638"/>
      <c r="N108" s="594"/>
      <c r="O108" s="638"/>
      <c r="P108" s="638"/>
      <c r="Q108" s="607">
        <v>251</v>
      </c>
      <c r="R108" s="607">
        <v>95</v>
      </c>
      <c r="S108" s="638"/>
      <c r="T108" s="595">
        <f t="shared" si="53"/>
        <v>88.553450699511345</v>
      </c>
      <c r="U108" s="572">
        <v>0</v>
      </c>
    </row>
    <row r="109" spans="1:21" s="358" customFormat="1" ht="33.75" customHeight="1">
      <c r="A109" s="569">
        <v>12</v>
      </c>
      <c r="B109" s="570" t="s">
        <v>333</v>
      </c>
      <c r="C109" s="607">
        <f>D109+E109</f>
        <v>7105</v>
      </c>
      <c r="D109" s="596">
        <v>207</v>
      </c>
      <c r="E109" s="594">
        <f>SUM(F109:H109)</f>
        <v>6898</v>
      </c>
      <c r="F109" s="596"/>
      <c r="G109" s="596">
        <f>2745+3830+18+55</f>
        <v>6648</v>
      </c>
      <c r="H109" s="596">
        <v>250</v>
      </c>
      <c r="I109" s="594">
        <f>J109+K109+L109+M109+N109</f>
        <v>5465</v>
      </c>
      <c r="J109" s="638"/>
      <c r="K109" s="607">
        <v>5377</v>
      </c>
      <c r="L109" s="638"/>
      <c r="M109" s="638"/>
      <c r="N109" s="594">
        <f>+O109+P109</f>
        <v>88</v>
      </c>
      <c r="O109" s="638"/>
      <c r="P109" s="607">
        <v>88</v>
      </c>
      <c r="Q109" s="596">
        <f>243-193</f>
        <v>50</v>
      </c>
      <c r="R109" s="638">
        <f t="shared" ref="R109:R119" si="61">I109/C109*100</f>
        <v>76.917663617171002</v>
      </c>
      <c r="S109" s="596"/>
      <c r="T109" s="595">
        <f t="shared" si="53"/>
        <v>79.168490153172868</v>
      </c>
      <c r="U109" s="572">
        <f>P109/H109*100</f>
        <v>35.199999999999996</v>
      </c>
    </row>
    <row r="110" spans="1:21" ht="33.6" customHeight="1">
      <c r="A110" s="569">
        <v>13</v>
      </c>
      <c r="B110" s="606" t="s">
        <v>409</v>
      </c>
      <c r="C110" s="607">
        <f t="shared" si="54"/>
        <v>7419.06</v>
      </c>
      <c r="D110" s="624">
        <v>46</v>
      </c>
      <c r="E110" s="594">
        <f t="shared" ref="E110:E118" si="62">F110+G110+H110</f>
        <v>7373.06</v>
      </c>
      <c r="F110" s="596"/>
      <c r="G110" s="596">
        <v>7373.06</v>
      </c>
      <c r="H110" s="596"/>
      <c r="I110" s="594">
        <f t="shared" si="55"/>
        <v>6391.11</v>
      </c>
      <c r="J110" s="596"/>
      <c r="K110" s="596">
        <v>6391.11</v>
      </c>
      <c r="L110" s="596"/>
      <c r="M110" s="596"/>
      <c r="N110" s="594"/>
      <c r="O110" s="596"/>
      <c r="P110" s="596"/>
      <c r="Q110" s="596">
        <v>74</v>
      </c>
      <c r="R110" s="595">
        <f t="shared" si="61"/>
        <v>86.144471132461518</v>
      </c>
      <c r="S110" s="596"/>
      <c r="T110" s="595">
        <f t="shared" si="53"/>
        <v>87.141902073847618</v>
      </c>
      <c r="U110" s="572">
        <v>0</v>
      </c>
    </row>
    <row r="111" spans="1:21" ht="33.75" customHeight="1">
      <c r="A111" s="569">
        <v>14</v>
      </c>
      <c r="B111" s="606" t="s">
        <v>408</v>
      </c>
      <c r="C111" s="607">
        <f t="shared" si="54"/>
        <v>11752</v>
      </c>
      <c r="D111" s="624">
        <v>270</v>
      </c>
      <c r="E111" s="594">
        <f t="shared" si="62"/>
        <v>11482</v>
      </c>
      <c r="F111" s="596"/>
      <c r="G111" s="596">
        <f>3762+7440+57+97+126</f>
        <v>11482</v>
      </c>
      <c r="H111" s="596"/>
      <c r="I111" s="594">
        <f t="shared" si="55"/>
        <v>9802</v>
      </c>
      <c r="J111" s="596"/>
      <c r="K111" s="596">
        <f>2209+7391+75+127</f>
        <v>9802</v>
      </c>
      <c r="L111" s="596"/>
      <c r="M111" s="596"/>
      <c r="N111" s="594">
        <f>O111+P111</f>
        <v>0</v>
      </c>
      <c r="O111" s="596"/>
      <c r="P111" s="596"/>
      <c r="Q111" s="596">
        <f>158+218</f>
        <v>376</v>
      </c>
      <c r="R111" s="595">
        <f t="shared" si="61"/>
        <v>83.407079646017706</v>
      </c>
      <c r="S111" s="596"/>
      <c r="T111" s="595">
        <f t="shared" si="53"/>
        <v>86.606535057862487</v>
      </c>
      <c r="U111" s="572">
        <v>0</v>
      </c>
    </row>
    <row r="112" spans="1:21" ht="33.75" customHeight="1">
      <c r="A112" s="569">
        <v>15</v>
      </c>
      <c r="B112" s="629" t="s">
        <v>384</v>
      </c>
      <c r="C112" s="597">
        <f t="shared" si="54"/>
        <v>12196</v>
      </c>
      <c r="D112" s="597">
        <v>4705</v>
      </c>
      <c r="E112" s="597">
        <f t="shared" si="62"/>
        <v>7491</v>
      </c>
      <c r="F112" s="597"/>
      <c r="G112" s="597">
        <f>8399-28-2148</f>
        <v>6223</v>
      </c>
      <c r="H112" s="597">
        <f>200+1068</f>
        <v>1268</v>
      </c>
      <c r="I112" s="594">
        <f t="shared" si="55"/>
        <v>7101.9320000000007</v>
      </c>
      <c r="J112" s="597"/>
      <c r="K112" s="597">
        <f>8976.698-1421.46-226.48-226.826</f>
        <v>7101.9320000000007</v>
      </c>
      <c r="L112" s="597"/>
      <c r="M112" s="597"/>
      <c r="N112" s="597"/>
      <c r="O112" s="597"/>
      <c r="P112" s="597">
        <v>0</v>
      </c>
      <c r="Q112" s="597">
        <f>659.863+3.049+55.822</f>
        <v>718.73400000000004</v>
      </c>
      <c r="R112" s="595">
        <f t="shared" si="61"/>
        <v>58.23164972122008</v>
      </c>
      <c r="S112" s="571"/>
      <c r="T112" s="595">
        <f t="shared" si="53"/>
        <v>71.5653916544656</v>
      </c>
      <c r="U112" s="572">
        <f>P112/H112</f>
        <v>0</v>
      </c>
    </row>
    <row r="113" spans="1:21" ht="33.75" customHeight="1">
      <c r="A113" s="569">
        <v>16</v>
      </c>
      <c r="B113" s="629" t="s">
        <v>410</v>
      </c>
      <c r="C113" s="607">
        <f>D113+E113</f>
        <v>7804</v>
      </c>
      <c r="D113" s="594">
        <v>58</v>
      </c>
      <c r="E113" s="597">
        <f t="shared" si="62"/>
        <v>7746</v>
      </c>
      <c r="F113" s="594"/>
      <c r="G113" s="594">
        <v>7746</v>
      </c>
      <c r="H113" s="594"/>
      <c r="I113" s="594">
        <f t="shared" si="55"/>
        <v>7296</v>
      </c>
      <c r="J113" s="594"/>
      <c r="K113" s="594">
        <v>7296</v>
      </c>
      <c r="L113" s="594"/>
      <c r="M113" s="594"/>
      <c r="N113" s="594"/>
      <c r="O113" s="594"/>
      <c r="P113" s="594"/>
      <c r="Q113" s="594">
        <v>33</v>
      </c>
      <c r="R113" s="595">
        <f>T113</f>
        <v>93.913377754997441</v>
      </c>
      <c r="S113" s="596"/>
      <c r="T113" s="595">
        <f t="shared" si="53"/>
        <v>93.913377754997441</v>
      </c>
      <c r="U113" s="572">
        <v>0</v>
      </c>
    </row>
    <row r="114" spans="1:21" ht="33.75" customHeight="1">
      <c r="A114" s="569">
        <v>17</v>
      </c>
      <c r="B114" s="629" t="s">
        <v>455</v>
      </c>
      <c r="C114" s="607">
        <f>D114+E114</f>
        <v>11377.091</v>
      </c>
      <c r="D114" s="594">
        <v>211.09100000000001</v>
      </c>
      <c r="E114" s="597">
        <f t="shared" si="62"/>
        <v>11166</v>
      </c>
      <c r="F114" s="594"/>
      <c r="G114" s="594">
        <v>7353</v>
      </c>
      <c r="H114" s="594">
        <v>3813</v>
      </c>
      <c r="I114" s="594">
        <f t="shared" si="55"/>
        <v>6676.0679999999993</v>
      </c>
      <c r="J114" s="594"/>
      <c r="K114" s="594">
        <f>1002.636+85.594+5587.838</f>
        <v>6676.0679999999993</v>
      </c>
      <c r="L114" s="594"/>
      <c r="M114" s="594"/>
      <c r="N114" s="594"/>
      <c r="O114" s="594"/>
      <c r="P114" s="594">
        <v>0</v>
      </c>
      <c r="Q114" s="594">
        <v>300.25299999999999</v>
      </c>
      <c r="R114" s="595">
        <f t="shared" ref="R114" si="63">I114/C114*100</f>
        <v>58.679920904210036</v>
      </c>
      <c r="S114" s="596"/>
      <c r="T114" s="595">
        <f t="shared" si="53"/>
        <v>92.229469476239757</v>
      </c>
      <c r="U114" s="572">
        <f>P114/H114</f>
        <v>0</v>
      </c>
    </row>
    <row r="115" spans="1:21" ht="33.75" customHeight="1">
      <c r="A115" s="569">
        <v>18</v>
      </c>
      <c r="B115" s="606" t="s">
        <v>411</v>
      </c>
      <c r="C115" s="607">
        <f>D115+E115</f>
        <v>16094.018</v>
      </c>
      <c r="D115" s="639">
        <v>62.887999999999998</v>
      </c>
      <c r="E115" s="594">
        <f t="shared" si="62"/>
        <v>16031.13</v>
      </c>
      <c r="F115" s="596"/>
      <c r="G115" s="596">
        <v>16031.13</v>
      </c>
      <c r="H115" s="596"/>
      <c r="I115" s="594">
        <f t="shared" si="55"/>
        <v>15011.75</v>
      </c>
      <c r="J115" s="596"/>
      <c r="K115" s="596">
        <v>15011.75</v>
      </c>
      <c r="L115" s="596"/>
      <c r="M115" s="596"/>
      <c r="N115" s="594">
        <f>O115+P115</f>
        <v>0</v>
      </c>
      <c r="O115" s="596"/>
      <c r="P115" s="596"/>
      <c r="Q115" s="596">
        <f>90+305.42</f>
        <v>395.42</v>
      </c>
      <c r="R115" s="595">
        <f t="shared" si="61"/>
        <v>93.275339943076986</v>
      </c>
      <c r="S115" s="596"/>
      <c r="T115" s="595">
        <f t="shared" si="53"/>
        <v>95.732277669877092</v>
      </c>
      <c r="U115" s="572">
        <v>0</v>
      </c>
    </row>
    <row r="116" spans="1:21" ht="33.75" customHeight="1">
      <c r="A116" s="569">
        <v>19</v>
      </c>
      <c r="B116" s="606" t="s">
        <v>412</v>
      </c>
      <c r="C116" s="607">
        <f>D116+E116</f>
        <v>48620.39</v>
      </c>
      <c r="D116" s="594">
        <v>110</v>
      </c>
      <c r="E116" s="594">
        <f t="shared" si="62"/>
        <v>48510.39</v>
      </c>
      <c r="F116" s="596"/>
      <c r="G116" s="596">
        <v>48510.39</v>
      </c>
      <c r="H116" s="596"/>
      <c r="I116" s="594">
        <f t="shared" si="55"/>
        <v>45572.78</v>
      </c>
      <c r="J116" s="596"/>
      <c r="K116" s="596">
        <v>45572.78</v>
      </c>
      <c r="L116" s="596"/>
      <c r="M116" s="596"/>
      <c r="N116" s="594">
        <f>O116+P116</f>
        <v>0</v>
      </c>
      <c r="O116" s="596"/>
      <c r="P116" s="596"/>
      <c r="Q116" s="596">
        <f>2835.8+150</f>
        <v>2985.8</v>
      </c>
      <c r="R116" s="595">
        <f t="shared" si="61"/>
        <v>93.731827325942888</v>
      </c>
      <c r="S116" s="596"/>
      <c r="T116" s="595">
        <f t="shared" si="53"/>
        <v>99.87287226614184</v>
      </c>
      <c r="U116" s="572">
        <v>0</v>
      </c>
    </row>
    <row r="117" spans="1:21" ht="33.75" customHeight="1">
      <c r="A117" s="569">
        <v>20</v>
      </c>
      <c r="B117" s="606" t="s">
        <v>413</v>
      </c>
      <c r="C117" s="607">
        <f t="shared" ref="C117:C135" si="64">D117+E117</f>
        <v>16269</v>
      </c>
      <c r="D117" s="624">
        <v>70</v>
      </c>
      <c r="E117" s="594">
        <f t="shared" si="62"/>
        <v>16199</v>
      </c>
      <c r="F117" s="596"/>
      <c r="G117" s="596">
        <f>16228-29</f>
        <v>16199</v>
      </c>
      <c r="H117" s="596"/>
      <c r="I117" s="594">
        <f t="shared" si="55"/>
        <v>12627</v>
      </c>
      <c r="J117" s="596"/>
      <c r="K117" s="596">
        <v>12627</v>
      </c>
      <c r="L117" s="596"/>
      <c r="M117" s="596"/>
      <c r="N117" s="594">
        <f t="shared" ref="N117:N119" si="65">+O117+P117</f>
        <v>0</v>
      </c>
      <c r="O117" s="596"/>
      <c r="P117" s="596"/>
      <c r="Q117" s="596">
        <v>265</v>
      </c>
      <c r="R117" s="595">
        <f t="shared" si="61"/>
        <v>77.61386686335976</v>
      </c>
      <c r="S117" s="596"/>
      <c r="T117" s="595">
        <f t="shared" si="53"/>
        <v>79.242731575388774</v>
      </c>
      <c r="U117" s="572">
        <v>0</v>
      </c>
    </row>
    <row r="118" spans="1:21" ht="33.75" customHeight="1">
      <c r="A118" s="569">
        <v>21</v>
      </c>
      <c r="B118" s="606" t="s">
        <v>414</v>
      </c>
      <c r="C118" s="607">
        <f t="shared" si="64"/>
        <v>14435</v>
      </c>
      <c r="D118" s="624">
        <v>91</v>
      </c>
      <c r="E118" s="594">
        <f t="shared" si="62"/>
        <v>14344</v>
      </c>
      <c r="F118" s="596"/>
      <c r="G118" s="596">
        <f>14362-18</f>
        <v>14344</v>
      </c>
      <c r="H118" s="596">
        <v>0</v>
      </c>
      <c r="I118" s="594">
        <f t="shared" si="55"/>
        <v>13933</v>
      </c>
      <c r="J118" s="596"/>
      <c r="K118" s="596">
        <v>13933</v>
      </c>
      <c r="L118" s="596"/>
      <c r="M118" s="596"/>
      <c r="N118" s="594">
        <f t="shared" si="65"/>
        <v>0</v>
      </c>
      <c r="O118" s="596"/>
      <c r="P118" s="596"/>
      <c r="Q118" s="596">
        <v>32</v>
      </c>
      <c r="R118" s="595">
        <f t="shared" si="61"/>
        <v>96.522341531001047</v>
      </c>
      <c r="S118" s="596"/>
      <c r="T118" s="595">
        <f t="shared" si="53"/>
        <v>96.744024939383451</v>
      </c>
      <c r="U118" s="572">
        <v>0</v>
      </c>
    </row>
    <row r="119" spans="1:21" ht="43.9" customHeight="1">
      <c r="A119" s="573"/>
      <c r="B119" s="640" t="s">
        <v>556</v>
      </c>
      <c r="C119" s="641">
        <f t="shared" si="64"/>
        <v>951</v>
      </c>
      <c r="D119" s="632">
        <v>0</v>
      </c>
      <c r="E119" s="601">
        <v>951</v>
      </c>
      <c r="F119" s="626"/>
      <c r="G119" s="626">
        <v>951</v>
      </c>
      <c r="H119" s="626">
        <v>0</v>
      </c>
      <c r="I119" s="601">
        <f t="shared" si="55"/>
        <v>309</v>
      </c>
      <c r="J119" s="626"/>
      <c r="K119" s="626">
        <v>309</v>
      </c>
      <c r="L119" s="626"/>
      <c r="M119" s="626"/>
      <c r="N119" s="601">
        <f t="shared" si="65"/>
        <v>0</v>
      </c>
      <c r="O119" s="626"/>
      <c r="P119" s="626"/>
      <c r="Q119" s="626">
        <v>0</v>
      </c>
      <c r="R119" s="602">
        <f t="shared" si="61"/>
        <v>32.49211356466877</v>
      </c>
      <c r="S119" s="626"/>
      <c r="T119" s="602">
        <f t="shared" si="53"/>
        <v>32.49211356466877</v>
      </c>
      <c r="U119" s="577">
        <v>0</v>
      </c>
    </row>
    <row r="120" spans="1:21" ht="33.75" customHeight="1">
      <c r="A120" s="523" t="s">
        <v>456</v>
      </c>
      <c r="B120" s="541" t="s">
        <v>415</v>
      </c>
      <c r="C120" s="519">
        <f t="shared" si="64"/>
        <v>125601</v>
      </c>
      <c r="D120" s="519">
        <v>29320</v>
      </c>
      <c r="E120" s="519">
        <f>F120+G120+H120</f>
        <v>96281</v>
      </c>
      <c r="F120" s="519"/>
      <c r="G120" s="519">
        <v>96281</v>
      </c>
      <c r="H120" s="519"/>
      <c r="I120" s="519">
        <f>K120+N120</f>
        <v>85326</v>
      </c>
      <c r="J120" s="519"/>
      <c r="K120" s="519">
        <v>85326</v>
      </c>
      <c r="L120" s="519"/>
      <c r="M120" s="519"/>
      <c r="N120" s="519">
        <f>O120+P120</f>
        <v>0</v>
      </c>
      <c r="O120" s="519"/>
      <c r="P120" s="519"/>
      <c r="Q120" s="519">
        <v>15544</v>
      </c>
      <c r="R120" s="520"/>
      <c r="S120" s="521"/>
      <c r="T120" s="520">
        <f t="shared" si="53"/>
        <v>80.309870144345979</v>
      </c>
      <c r="U120" s="530"/>
    </row>
    <row r="121" spans="1:21" ht="33.75" customHeight="1">
      <c r="A121" s="523" t="s">
        <v>457</v>
      </c>
      <c r="B121" s="541" t="s">
        <v>416</v>
      </c>
      <c r="C121" s="519">
        <f>D121+E121</f>
        <v>35075.031000000003</v>
      </c>
      <c r="D121" s="519">
        <f>SUM(D122:D124)</f>
        <v>247.03100000000001</v>
      </c>
      <c r="E121" s="519">
        <f>SUM(E122:E124)</f>
        <v>34828</v>
      </c>
      <c r="F121" s="519">
        <f>SUM(F122:F124)</f>
        <v>0</v>
      </c>
      <c r="G121" s="519">
        <f>SUM(G122:G124)</f>
        <v>31963</v>
      </c>
      <c r="H121" s="519">
        <f t="shared" ref="H121:Q121" si="66">SUM(H122:H124)</f>
        <v>2865</v>
      </c>
      <c r="I121" s="519">
        <f t="shared" si="66"/>
        <v>29810.894226</v>
      </c>
      <c r="J121" s="519">
        <f t="shared" si="66"/>
        <v>0</v>
      </c>
      <c r="K121" s="519">
        <f t="shared" si="66"/>
        <v>29810.894226</v>
      </c>
      <c r="L121" s="519">
        <f t="shared" si="66"/>
        <v>0</v>
      </c>
      <c r="M121" s="519">
        <f t="shared" si="66"/>
        <v>0</v>
      </c>
      <c r="N121" s="519">
        <f t="shared" si="66"/>
        <v>0</v>
      </c>
      <c r="O121" s="519">
        <f t="shared" si="66"/>
        <v>0</v>
      </c>
      <c r="P121" s="519">
        <f t="shared" si="66"/>
        <v>0</v>
      </c>
      <c r="Q121" s="519">
        <f t="shared" si="66"/>
        <v>673.92492400000003</v>
      </c>
      <c r="R121" s="520">
        <f t="shared" si="40"/>
        <v>84.991782975188244</v>
      </c>
      <c r="S121" s="521"/>
      <c r="T121" s="520">
        <f t="shared" si="53"/>
        <v>94.643867775228159</v>
      </c>
      <c r="U121" s="530">
        <f>N121/H121*100</f>
        <v>0</v>
      </c>
    </row>
    <row r="122" spans="1:21" ht="33.75" customHeight="1">
      <c r="A122" s="564">
        <v>1</v>
      </c>
      <c r="B122" s="565" t="s">
        <v>417</v>
      </c>
      <c r="C122" s="589">
        <f>D122+E122</f>
        <v>29282.280999999999</v>
      </c>
      <c r="D122" s="605">
        <v>198.28100000000001</v>
      </c>
      <c r="E122" s="589">
        <f>G122+H122</f>
        <v>29084</v>
      </c>
      <c r="F122" s="605"/>
      <c r="G122" s="605">
        <v>26219</v>
      </c>
      <c r="H122" s="605">
        <f>1630+1235</f>
        <v>2865</v>
      </c>
      <c r="I122" s="589">
        <f t="shared" ref="I122:I124" si="67">J122+K122+L122+M122+N122</f>
        <v>24269.372226</v>
      </c>
      <c r="J122" s="605"/>
      <c r="K122" s="605">
        <v>24269.372226</v>
      </c>
      <c r="L122" s="605"/>
      <c r="M122" s="605"/>
      <c r="N122" s="589">
        <f>O122+P122</f>
        <v>0</v>
      </c>
      <c r="O122" s="605"/>
      <c r="P122" s="605"/>
      <c r="Q122" s="605">
        <v>615.72292400000003</v>
      </c>
      <c r="R122" s="590">
        <f t="shared" si="40"/>
        <v>82.880743566390876</v>
      </c>
      <c r="S122" s="605"/>
      <c r="T122" s="590">
        <f t="shared" si="53"/>
        <v>94.200062262274457</v>
      </c>
      <c r="U122" s="568">
        <f>P122/H122</f>
        <v>0</v>
      </c>
    </row>
    <row r="123" spans="1:21" ht="34.9" customHeight="1">
      <c r="A123" s="569">
        <v>2</v>
      </c>
      <c r="B123" s="606" t="s">
        <v>418</v>
      </c>
      <c r="C123" s="594">
        <f>D123+E123</f>
        <v>1609.75</v>
      </c>
      <c r="D123" s="642">
        <v>15.75</v>
      </c>
      <c r="E123" s="594">
        <f>G123</f>
        <v>1594</v>
      </c>
      <c r="F123" s="596"/>
      <c r="G123" s="642">
        <v>1594</v>
      </c>
      <c r="H123" s="596"/>
      <c r="I123" s="594">
        <f t="shared" si="67"/>
        <v>1501.819</v>
      </c>
      <c r="J123" s="596"/>
      <c r="K123" s="596">
        <v>1501.819</v>
      </c>
      <c r="L123" s="596"/>
      <c r="M123" s="596"/>
      <c r="N123" s="594"/>
      <c r="O123" s="596"/>
      <c r="P123" s="596"/>
      <c r="Q123" s="596">
        <v>2.1389999999999998</v>
      </c>
      <c r="R123" s="595">
        <f t="shared" si="40"/>
        <v>93.295170057462343</v>
      </c>
      <c r="S123" s="596"/>
      <c r="T123" s="595">
        <f t="shared" si="53"/>
        <v>93.428047833514512</v>
      </c>
      <c r="U123" s="572">
        <v>0</v>
      </c>
    </row>
    <row r="124" spans="1:21" ht="33.75" customHeight="1">
      <c r="A124" s="573">
        <v>3</v>
      </c>
      <c r="B124" s="640" t="s">
        <v>419</v>
      </c>
      <c r="C124" s="601">
        <f>D124+E124</f>
        <v>4183</v>
      </c>
      <c r="D124" s="643">
        <v>33</v>
      </c>
      <c r="E124" s="601">
        <f>G124</f>
        <v>4150</v>
      </c>
      <c r="F124" s="626"/>
      <c r="G124" s="643">
        <v>4150</v>
      </c>
      <c r="H124" s="626"/>
      <c r="I124" s="601">
        <f t="shared" si="67"/>
        <v>4039.703</v>
      </c>
      <c r="J124" s="626"/>
      <c r="K124" s="626">
        <v>4039.703</v>
      </c>
      <c r="L124" s="626"/>
      <c r="M124" s="626"/>
      <c r="N124" s="601"/>
      <c r="O124" s="626"/>
      <c r="P124" s="626"/>
      <c r="Q124" s="626">
        <v>56.063000000000002</v>
      </c>
      <c r="R124" s="602">
        <f t="shared" si="40"/>
        <v>96.574300741094916</v>
      </c>
      <c r="S124" s="626"/>
      <c r="T124" s="602">
        <f t="shared" si="53"/>
        <v>97.914558928998332</v>
      </c>
      <c r="U124" s="577">
        <v>0</v>
      </c>
    </row>
    <row r="125" spans="1:21" ht="33.75" customHeight="1">
      <c r="A125" s="523" t="s">
        <v>458</v>
      </c>
      <c r="B125" s="541" t="s">
        <v>420</v>
      </c>
      <c r="C125" s="519">
        <f>SUM(C126:C140)</f>
        <v>21699.074097000001</v>
      </c>
      <c r="D125" s="519">
        <f t="shared" ref="D125:Q125" si="68">SUM(D126:D140)</f>
        <v>817.07409699999994</v>
      </c>
      <c r="E125" s="519">
        <f t="shared" si="68"/>
        <v>20882</v>
      </c>
      <c r="F125" s="519">
        <f t="shared" si="68"/>
        <v>0</v>
      </c>
      <c r="G125" s="519">
        <f t="shared" si="68"/>
        <v>20382</v>
      </c>
      <c r="H125" s="519">
        <f t="shared" si="68"/>
        <v>500</v>
      </c>
      <c r="I125" s="519">
        <f t="shared" si="68"/>
        <v>17553.224484999999</v>
      </c>
      <c r="J125" s="519">
        <f t="shared" si="68"/>
        <v>0</v>
      </c>
      <c r="K125" s="519">
        <f t="shared" si="68"/>
        <v>17553.224484999999</v>
      </c>
      <c r="L125" s="519">
        <f t="shared" si="68"/>
        <v>0</v>
      </c>
      <c r="M125" s="519">
        <f t="shared" si="68"/>
        <v>0</v>
      </c>
      <c r="N125" s="519">
        <f t="shared" si="68"/>
        <v>0</v>
      </c>
      <c r="O125" s="519">
        <f t="shared" si="68"/>
        <v>0</v>
      </c>
      <c r="P125" s="519">
        <f t="shared" si="68"/>
        <v>0</v>
      </c>
      <c r="Q125" s="519">
        <f t="shared" si="68"/>
        <v>1338.0042800000001</v>
      </c>
      <c r="R125" s="520">
        <f t="shared" si="40"/>
        <v>80.893887022703964</v>
      </c>
      <c r="S125" s="521"/>
      <c r="T125" s="520">
        <f t="shared" si="53"/>
        <v>89.113461647239603</v>
      </c>
      <c r="U125" s="530">
        <f>N125/H125*100</f>
        <v>0</v>
      </c>
    </row>
    <row r="126" spans="1:21" ht="38.25" customHeight="1">
      <c r="A126" s="564">
        <v>1</v>
      </c>
      <c r="B126" s="565" t="s">
        <v>421</v>
      </c>
      <c r="C126" s="589">
        <f t="shared" si="64"/>
        <v>1097</v>
      </c>
      <c r="D126" s="604">
        <v>49</v>
      </c>
      <c r="E126" s="589">
        <f>F126+G126+H126</f>
        <v>1048</v>
      </c>
      <c r="F126" s="591"/>
      <c r="G126" s="591">
        <v>1048</v>
      </c>
      <c r="H126" s="591"/>
      <c r="I126" s="589">
        <f t="shared" ref="I126:I140" si="69">J126+K126+L126+M126+N126</f>
        <v>866</v>
      </c>
      <c r="J126" s="591"/>
      <c r="K126" s="591">
        <v>866</v>
      </c>
      <c r="L126" s="591"/>
      <c r="M126" s="591"/>
      <c r="N126" s="589">
        <f t="shared" ref="N126:N140" si="70">O126+P126</f>
        <v>0</v>
      </c>
      <c r="O126" s="591"/>
      <c r="P126" s="591"/>
      <c r="Q126" s="591">
        <v>208</v>
      </c>
      <c r="R126" s="590">
        <f t="shared" si="40"/>
        <v>78.942570647219696</v>
      </c>
      <c r="S126" s="591"/>
      <c r="T126" s="590">
        <f t="shared" si="53"/>
        <v>97.903372835004561</v>
      </c>
      <c r="U126" s="568">
        <v>0</v>
      </c>
    </row>
    <row r="127" spans="1:21" ht="38.25" customHeight="1">
      <c r="A127" s="569">
        <v>2</v>
      </c>
      <c r="B127" s="629" t="s">
        <v>428</v>
      </c>
      <c r="C127" s="594">
        <f>D127+E127</f>
        <v>2789</v>
      </c>
      <c r="D127" s="594">
        <v>15</v>
      </c>
      <c r="E127" s="594">
        <f t="shared" ref="E127:E130" si="71">F127+G127+H127</f>
        <v>2774</v>
      </c>
      <c r="F127" s="594"/>
      <c r="G127" s="594">
        <v>2774</v>
      </c>
      <c r="H127" s="594"/>
      <c r="I127" s="594">
        <f t="shared" si="69"/>
        <v>2310</v>
      </c>
      <c r="J127" s="594"/>
      <c r="K127" s="594">
        <v>2310</v>
      </c>
      <c r="L127" s="594"/>
      <c r="M127" s="594"/>
      <c r="N127" s="594">
        <f t="shared" si="70"/>
        <v>0</v>
      </c>
      <c r="O127" s="594"/>
      <c r="P127" s="594"/>
      <c r="Q127" s="594">
        <v>433</v>
      </c>
      <c r="R127" s="595">
        <f>I127/C127*100</f>
        <v>82.82538544281104</v>
      </c>
      <c r="S127" s="596"/>
      <c r="T127" s="595">
        <f t="shared" si="53"/>
        <v>98.350663320186442</v>
      </c>
      <c r="U127" s="572">
        <v>0</v>
      </c>
    </row>
    <row r="128" spans="1:21" ht="38.25" customHeight="1">
      <c r="A128" s="569">
        <v>3</v>
      </c>
      <c r="B128" s="570" t="s">
        <v>433</v>
      </c>
      <c r="C128" s="594">
        <f>D128+E128</f>
        <v>1294</v>
      </c>
      <c r="D128" s="596">
        <v>147</v>
      </c>
      <c r="E128" s="594">
        <f t="shared" si="71"/>
        <v>1147</v>
      </c>
      <c r="F128" s="596">
        <v>0</v>
      </c>
      <c r="G128" s="596">
        <v>1147</v>
      </c>
      <c r="H128" s="596">
        <v>0</v>
      </c>
      <c r="I128" s="594">
        <f t="shared" si="69"/>
        <v>1211.2487000000001</v>
      </c>
      <c r="J128" s="596"/>
      <c r="K128" s="596">
        <v>1211.2487000000001</v>
      </c>
      <c r="L128" s="596"/>
      <c r="M128" s="596"/>
      <c r="N128" s="594">
        <f t="shared" si="70"/>
        <v>0</v>
      </c>
      <c r="O128" s="596"/>
      <c r="P128" s="596"/>
      <c r="Q128" s="596">
        <v>74.822305999999998</v>
      </c>
      <c r="R128" s="595">
        <f t="shared" si="40"/>
        <v>93.605000000000004</v>
      </c>
      <c r="S128" s="596"/>
      <c r="T128" s="595">
        <f>(K128+Q128)/(D128+G128)*100</f>
        <v>99.387249304482239</v>
      </c>
      <c r="U128" s="572">
        <v>0</v>
      </c>
    </row>
    <row r="129" spans="1:21" ht="38.25" customHeight="1">
      <c r="A129" s="569">
        <v>4</v>
      </c>
      <c r="B129" s="570" t="s">
        <v>422</v>
      </c>
      <c r="C129" s="594">
        <f>D129+E129</f>
        <v>2659.0753610000002</v>
      </c>
      <c r="D129" s="596">
        <v>129.07536099999999</v>
      </c>
      <c r="E129" s="594">
        <f t="shared" si="71"/>
        <v>2530</v>
      </c>
      <c r="F129" s="596"/>
      <c r="G129" s="596">
        <v>2530</v>
      </c>
      <c r="H129" s="596"/>
      <c r="I129" s="594">
        <f t="shared" si="69"/>
        <v>2450.2719990000001</v>
      </c>
      <c r="J129" s="596"/>
      <c r="K129" s="596">
        <v>2450.2719990000001</v>
      </c>
      <c r="L129" s="596"/>
      <c r="M129" s="596"/>
      <c r="N129" s="594">
        <f t="shared" si="70"/>
        <v>0</v>
      </c>
      <c r="O129" s="596"/>
      <c r="P129" s="596"/>
      <c r="Q129" s="596">
        <v>57.227922</v>
      </c>
      <c r="R129" s="595">
        <f t="shared" si="40"/>
        <v>92.147519958912511</v>
      </c>
      <c r="S129" s="596"/>
      <c r="T129" s="595">
        <f t="shared" si="53"/>
        <v>94.299693712215927</v>
      </c>
      <c r="U129" s="572">
        <v>0</v>
      </c>
    </row>
    <row r="130" spans="1:21" ht="38.25" customHeight="1">
      <c r="A130" s="569">
        <v>5</v>
      </c>
      <c r="B130" s="570" t="s">
        <v>423</v>
      </c>
      <c r="C130" s="594">
        <f t="shared" ref="C130" si="72">D130+E130</f>
        <v>657</v>
      </c>
      <c r="D130" s="596"/>
      <c r="E130" s="594">
        <f t="shared" si="71"/>
        <v>657</v>
      </c>
      <c r="F130" s="596"/>
      <c r="G130" s="596">
        <v>657</v>
      </c>
      <c r="H130" s="596"/>
      <c r="I130" s="594">
        <f t="shared" si="69"/>
        <v>512.97703999999999</v>
      </c>
      <c r="J130" s="596"/>
      <c r="K130" s="596">
        <v>512.97703999999999</v>
      </c>
      <c r="L130" s="596"/>
      <c r="M130" s="596"/>
      <c r="N130" s="594">
        <f t="shared" si="70"/>
        <v>0</v>
      </c>
      <c r="O130" s="596"/>
      <c r="P130" s="596"/>
      <c r="Q130" s="639"/>
      <c r="R130" s="595">
        <f t="shared" si="40"/>
        <v>78.078697108066976</v>
      </c>
      <c r="S130" s="596"/>
      <c r="T130" s="595">
        <f t="shared" si="53"/>
        <v>78.078697108066976</v>
      </c>
      <c r="U130" s="572">
        <v>0</v>
      </c>
    </row>
    <row r="131" spans="1:21" ht="38.25" customHeight="1">
      <c r="A131" s="569">
        <v>6</v>
      </c>
      <c r="B131" s="570" t="s">
        <v>424</v>
      </c>
      <c r="C131" s="594">
        <f>D131+E131</f>
        <v>569</v>
      </c>
      <c r="D131" s="639">
        <v>8</v>
      </c>
      <c r="E131" s="594">
        <f>F131+G131+H131</f>
        <v>561</v>
      </c>
      <c r="F131" s="639"/>
      <c r="G131" s="639">
        <v>561</v>
      </c>
      <c r="H131" s="639"/>
      <c r="I131" s="594">
        <f t="shared" si="69"/>
        <v>567</v>
      </c>
      <c r="J131" s="639"/>
      <c r="K131" s="639">
        <v>567</v>
      </c>
      <c r="L131" s="639"/>
      <c r="M131" s="639"/>
      <c r="N131" s="594">
        <f t="shared" si="70"/>
        <v>0</v>
      </c>
      <c r="O131" s="639"/>
      <c r="P131" s="639"/>
      <c r="Q131" s="639">
        <v>0</v>
      </c>
      <c r="R131" s="595">
        <f>I131/C131*100</f>
        <v>99.648506151142357</v>
      </c>
      <c r="S131" s="596"/>
      <c r="T131" s="595">
        <f t="shared" si="53"/>
        <v>99.648506151142357</v>
      </c>
      <c r="U131" s="572">
        <v>0</v>
      </c>
    </row>
    <row r="132" spans="1:21" ht="38.25" customHeight="1">
      <c r="A132" s="569">
        <v>7</v>
      </c>
      <c r="B132" s="570" t="s">
        <v>434</v>
      </c>
      <c r="C132" s="594">
        <f t="shared" si="64"/>
        <v>1169</v>
      </c>
      <c r="D132" s="624">
        <v>9</v>
      </c>
      <c r="E132" s="594">
        <f t="shared" ref="E132:E140" si="73">F132+G132+H132</f>
        <v>1160</v>
      </c>
      <c r="F132" s="596"/>
      <c r="G132" s="596">
        <v>1160</v>
      </c>
      <c r="H132" s="596"/>
      <c r="I132" s="594">
        <f t="shared" si="69"/>
        <v>806</v>
      </c>
      <c r="J132" s="596"/>
      <c r="K132" s="596">
        <v>806</v>
      </c>
      <c r="L132" s="596"/>
      <c r="M132" s="596"/>
      <c r="N132" s="594">
        <f t="shared" si="70"/>
        <v>0</v>
      </c>
      <c r="O132" s="596"/>
      <c r="P132" s="596"/>
      <c r="Q132" s="596">
        <v>11</v>
      </c>
      <c r="R132" s="595">
        <f t="shared" si="40"/>
        <v>68.947818648417453</v>
      </c>
      <c r="S132" s="596"/>
      <c r="T132" s="595">
        <f t="shared" si="53"/>
        <v>69.888793840889647</v>
      </c>
      <c r="U132" s="572">
        <v>0</v>
      </c>
    </row>
    <row r="133" spans="1:21" ht="38.25" customHeight="1">
      <c r="A133" s="569">
        <v>8</v>
      </c>
      <c r="B133" s="570" t="s">
        <v>425</v>
      </c>
      <c r="C133" s="594">
        <f t="shared" si="64"/>
        <v>1151</v>
      </c>
      <c r="D133" s="644">
        <v>9</v>
      </c>
      <c r="E133" s="594">
        <f t="shared" si="73"/>
        <v>1142</v>
      </c>
      <c r="F133" s="596"/>
      <c r="G133" s="596">
        <v>1142</v>
      </c>
      <c r="H133" s="596"/>
      <c r="I133" s="594">
        <f t="shared" si="69"/>
        <v>1146.3204390000001</v>
      </c>
      <c r="J133" s="596"/>
      <c r="K133" s="596">
        <v>1146.3204390000001</v>
      </c>
      <c r="L133" s="596"/>
      <c r="M133" s="596"/>
      <c r="N133" s="594">
        <f t="shared" si="70"/>
        <v>0</v>
      </c>
      <c r="O133" s="596"/>
      <c r="P133" s="596"/>
      <c r="Q133" s="596">
        <v>3</v>
      </c>
      <c r="R133" s="595">
        <f t="shared" si="40"/>
        <v>99.593435186794096</v>
      </c>
      <c r="S133" s="596"/>
      <c r="T133" s="595">
        <f t="shared" si="53"/>
        <v>99.854078105994788</v>
      </c>
      <c r="U133" s="572">
        <v>0</v>
      </c>
    </row>
    <row r="134" spans="1:21" ht="38.25" customHeight="1">
      <c r="A134" s="569">
        <v>9</v>
      </c>
      <c r="B134" s="570" t="s">
        <v>426</v>
      </c>
      <c r="C134" s="594">
        <f t="shared" si="64"/>
        <v>591</v>
      </c>
      <c r="D134" s="624">
        <v>19</v>
      </c>
      <c r="E134" s="594">
        <f t="shared" si="73"/>
        <v>572</v>
      </c>
      <c r="F134" s="596"/>
      <c r="G134" s="596">
        <v>572</v>
      </c>
      <c r="H134" s="596"/>
      <c r="I134" s="594">
        <f t="shared" si="69"/>
        <v>560.935247</v>
      </c>
      <c r="J134" s="596"/>
      <c r="K134" s="644">
        <v>560.935247</v>
      </c>
      <c r="L134" s="596"/>
      <c r="M134" s="596"/>
      <c r="N134" s="594">
        <f t="shared" si="70"/>
        <v>0</v>
      </c>
      <c r="O134" s="596"/>
      <c r="P134" s="596"/>
      <c r="Q134" s="596">
        <v>20.774304000000001</v>
      </c>
      <c r="R134" s="595">
        <f t="shared" si="40"/>
        <v>94.912901353637906</v>
      </c>
      <c r="S134" s="596"/>
      <c r="T134" s="595">
        <f t="shared" si="53"/>
        <v>98.428012013536375</v>
      </c>
      <c r="U134" s="572">
        <v>0</v>
      </c>
    </row>
    <row r="135" spans="1:21" ht="38.25" customHeight="1">
      <c r="A135" s="569">
        <v>10</v>
      </c>
      <c r="B135" s="570" t="s">
        <v>470</v>
      </c>
      <c r="C135" s="594">
        <f t="shared" si="64"/>
        <v>654.25381100000004</v>
      </c>
      <c r="D135" s="596">
        <v>45.253810999999999</v>
      </c>
      <c r="E135" s="594">
        <f t="shared" si="73"/>
        <v>609</v>
      </c>
      <c r="F135" s="596"/>
      <c r="G135" s="596">
        <v>609</v>
      </c>
      <c r="H135" s="596"/>
      <c r="I135" s="594">
        <f t="shared" si="69"/>
        <v>592.42200000000003</v>
      </c>
      <c r="J135" s="596"/>
      <c r="K135" s="596">
        <v>592.42200000000003</v>
      </c>
      <c r="L135" s="596"/>
      <c r="M135" s="596"/>
      <c r="N135" s="594">
        <f t="shared" si="70"/>
        <v>0</v>
      </c>
      <c r="O135" s="596"/>
      <c r="P135" s="596"/>
      <c r="Q135" s="596">
        <v>45</v>
      </c>
      <c r="R135" s="595">
        <f t="shared" si="40"/>
        <v>90.549262387101322</v>
      </c>
      <c r="S135" s="596"/>
      <c r="T135" s="595">
        <f t="shared" si="53"/>
        <v>97.427327022478735</v>
      </c>
      <c r="U135" s="572">
        <v>0</v>
      </c>
    </row>
    <row r="136" spans="1:21" ht="48.75" customHeight="1">
      <c r="A136" s="569">
        <v>11</v>
      </c>
      <c r="B136" s="606" t="s">
        <v>459</v>
      </c>
      <c r="C136" s="594">
        <f>D136+E136</f>
        <v>983</v>
      </c>
      <c r="D136" s="624">
        <v>18</v>
      </c>
      <c r="E136" s="594">
        <f t="shared" si="73"/>
        <v>965</v>
      </c>
      <c r="F136" s="596"/>
      <c r="G136" s="596">
        <v>965</v>
      </c>
      <c r="H136" s="596"/>
      <c r="I136" s="594">
        <f t="shared" si="69"/>
        <v>964.43145100000004</v>
      </c>
      <c r="J136" s="596"/>
      <c r="K136" s="596">
        <v>964.43145100000004</v>
      </c>
      <c r="L136" s="596"/>
      <c r="M136" s="596"/>
      <c r="N136" s="594">
        <f t="shared" si="70"/>
        <v>0</v>
      </c>
      <c r="O136" s="596"/>
      <c r="P136" s="596"/>
      <c r="Q136" s="596">
        <v>18.287863999999999</v>
      </c>
      <c r="R136" s="595">
        <f>I136/C136*100</f>
        <v>98.111032655137336</v>
      </c>
      <c r="S136" s="596"/>
      <c r="T136" s="595">
        <f t="shared" si="53"/>
        <v>99.971446083418115</v>
      </c>
      <c r="U136" s="572">
        <v>0</v>
      </c>
    </row>
    <row r="137" spans="1:21" ht="38.25" customHeight="1">
      <c r="A137" s="569">
        <v>12</v>
      </c>
      <c r="B137" s="629" t="s">
        <v>402</v>
      </c>
      <c r="C137" s="594">
        <f>D137+E137</f>
        <v>3641.2515370000001</v>
      </c>
      <c r="D137" s="594">
        <v>233.25153700000001</v>
      </c>
      <c r="E137" s="594">
        <f t="shared" si="73"/>
        <v>3408</v>
      </c>
      <c r="F137" s="594"/>
      <c r="G137" s="594">
        <v>2908</v>
      </c>
      <c r="H137" s="594">
        <v>500</v>
      </c>
      <c r="I137" s="594">
        <f t="shared" si="69"/>
        <v>2270.914565</v>
      </c>
      <c r="J137" s="594"/>
      <c r="K137" s="594">
        <v>2270.914565</v>
      </c>
      <c r="L137" s="594"/>
      <c r="M137" s="594"/>
      <c r="N137" s="594">
        <f t="shared" si="70"/>
        <v>0</v>
      </c>
      <c r="O137" s="594"/>
      <c r="P137" s="594"/>
      <c r="Q137" s="594">
        <v>331</v>
      </c>
      <c r="R137" s="595">
        <f t="shared" si="40"/>
        <v>62.366319435075049</v>
      </c>
      <c r="S137" s="596"/>
      <c r="T137" s="595">
        <f t="shared" si="53"/>
        <v>82.830506705773558</v>
      </c>
      <c r="U137" s="572">
        <f>N137/H137*100</f>
        <v>0</v>
      </c>
    </row>
    <row r="138" spans="1:21" ht="38.25" customHeight="1">
      <c r="A138" s="569">
        <v>13</v>
      </c>
      <c r="B138" s="570" t="s">
        <v>427</v>
      </c>
      <c r="C138" s="594">
        <f>D138+E138</f>
        <v>1000</v>
      </c>
      <c r="D138" s="624">
        <v>0</v>
      </c>
      <c r="E138" s="594">
        <f t="shared" si="73"/>
        <v>1000</v>
      </c>
      <c r="F138" s="596"/>
      <c r="G138" s="596">
        <v>1000</v>
      </c>
      <c r="H138" s="596"/>
      <c r="I138" s="594">
        <f t="shared" si="69"/>
        <v>724</v>
      </c>
      <c r="J138" s="596"/>
      <c r="K138" s="596">
        <v>724</v>
      </c>
      <c r="L138" s="596"/>
      <c r="M138" s="596"/>
      <c r="N138" s="594">
        <f t="shared" si="70"/>
        <v>0</v>
      </c>
      <c r="O138" s="596"/>
      <c r="P138" s="596">
        <v>0</v>
      </c>
      <c r="Q138" s="596">
        <v>0</v>
      </c>
      <c r="R138" s="595">
        <f>I138/C138*100</f>
        <v>72.399999999999991</v>
      </c>
      <c r="S138" s="596"/>
      <c r="T138" s="595">
        <f t="shared" si="53"/>
        <v>72.399999999999991</v>
      </c>
      <c r="U138" s="572">
        <v>0</v>
      </c>
    </row>
    <row r="139" spans="1:21" ht="38.25" customHeight="1">
      <c r="A139" s="569">
        <v>14</v>
      </c>
      <c r="B139" s="570" t="s">
        <v>471</v>
      </c>
      <c r="C139" s="594">
        <f t="shared" ref="C139" si="74">D139+E139</f>
        <v>3334.4933879999999</v>
      </c>
      <c r="D139" s="596">
        <v>135.49338800000001</v>
      </c>
      <c r="E139" s="594">
        <f t="shared" si="73"/>
        <v>3199</v>
      </c>
      <c r="F139" s="596"/>
      <c r="G139" s="596">
        <v>3199</v>
      </c>
      <c r="H139" s="596"/>
      <c r="I139" s="594">
        <f t="shared" si="69"/>
        <v>2496.7030439999999</v>
      </c>
      <c r="J139" s="596"/>
      <c r="K139" s="596">
        <v>2496.7030439999999</v>
      </c>
      <c r="L139" s="596"/>
      <c r="M139" s="596"/>
      <c r="N139" s="594">
        <f t="shared" si="70"/>
        <v>0</v>
      </c>
      <c r="O139" s="596"/>
      <c r="P139" s="596"/>
      <c r="Q139" s="596">
        <v>135.891884</v>
      </c>
      <c r="R139" s="595">
        <f t="shared" ref="R139" si="75">I139/C139*100</f>
        <v>74.875033580363478</v>
      </c>
      <c r="S139" s="596"/>
      <c r="T139" s="595">
        <f t="shared" si="53"/>
        <v>78.950371815821995</v>
      </c>
      <c r="U139" s="572">
        <v>0</v>
      </c>
    </row>
    <row r="140" spans="1:21" ht="38.25" customHeight="1">
      <c r="A140" s="573">
        <v>15</v>
      </c>
      <c r="B140" s="630" t="s">
        <v>460</v>
      </c>
      <c r="C140" s="601">
        <f>D140+E140</f>
        <v>110</v>
      </c>
      <c r="D140" s="601">
        <v>0</v>
      </c>
      <c r="E140" s="601">
        <f t="shared" si="73"/>
        <v>110</v>
      </c>
      <c r="F140" s="601"/>
      <c r="G140" s="601">
        <v>110</v>
      </c>
      <c r="H140" s="601"/>
      <c r="I140" s="601">
        <f t="shared" si="69"/>
        <v>74</v>
      </c>
      <c r="J140" s="601"/>
      <c r="K140" s="601">
        <v>74</v>
      </c>
      <c r="L140" s="601"/>
      <c r="M140" s="601"/>
      <c r="N140" s="601">
        <f t="shared" si="70"/>
        <v>0</v>
      </c>
      <c r="O140" s="601"/>
      <c r="P140" s="601"/>
      <c r="Q140" s="601">
        <v>0</v>
      </c>
      <c r="R140" s="602">
        <f>I140/C140*100</f>
        <v>67.272727272727266</v>
      </c>
      <c r="S140" s="626"/>
      <c r="T140" s="602">
        <f t="shared" si="53"/>
        <v>67.272727272727266</v>
      </c>
      <c r="U140" s="577">
        <v>0</v>
      </c>
    </row>
    <row r="141" spans="1:21" ht="38.25" customHeight="1">
      <c r="A141" s="523" t="s">
        <v>139</v>
      </c>
      <c r="B141" s="522" t="s">
        <v>557</v>
      </c>
      <c r="C141" s="519">
        <f>SUM(C142:C144)</f>
        <v>199991</v>
      </c>
      <c r="D141" s="519">
        <f t="shared" ref="D141:Q141" si="76">SUM(D142:D144)</f>
        <v>7372</v>
      </c>
      <c r="E141" s="519">
        <f t="shared" si="76"/>
        <v>192619</v>
      </c>
      <c r="F141" s="519">
        <f t="shared" si="76"/>
        <v>0</v>
      </c>
      <c r="G141" s="519">
        <f t="shared" si="76"/>
        <v>192619</v>
      </c>
      <c r="H141" s="519">
        <f t="shared" si="76"/>
        <v>0</v>
      </c>
      <c r="I141" s="519">
        <f t="shared" si="76"/>
        <v>186540</v>
      </c>
      <c r="J141" s="519">
        <f t="shared" si="76"/>
        <v>0</v>
      </c>
      <c r="K141" s="519">
        <f t="shared" si="76"/>
        <v>186540</v>
      </c>
      <c r="L141" s="519">
        <f t="shared" si="76"/>
        <v>0</v>
      </c>
      <c r="M141" s="519">
        <f t="shared" si="76"/>
        <v>0</v>
      </c>
      <c r="N141" s="519">
        <f t="shared" si="76"/>
        <v>0</v>
      </c>
      <c r="O141" s="519">
        <f t="shared" si="76"/>
        <v>0</v>
      </c>
      <c r="P141" s="519">
        <f t="shared" si="76"/>
        <v>0</v>
      </c>
      <c r="Q141" s="519">
        <f t="shared" si="76"/>
        <v>6788</v>
      </c>
      <c r="R141" s="520">
        <f t="shared" ref="R141:R144" si="77">I141/C141*100</f>
        <v>93.274197338880242</v>
      </c>
      <c r="S141" s="521"/>
      <c r="T141" s="520">
        <f t="shared" si="53"/>
        <v>96.668350075753409</v>
      </c>
      <c r="U141" s="530"/>
    </row>
    <row r="142" spans="1:21" ht="38.25" customHeight="1">
      <c r="A142" s="564">
        <v>1</v>
      </c>
      <c r="B142" s="565" t="s">
        <v>558</v>
      </c>
      <c r="C142" s="589">
        <f>D142+E142</f>
        <v>66686</v>
      </c>
      <c r="D142" s="589">
        <v>6488</v>
      </c>
      <c r="E142" s="589">
        <f t="shared" ref="E142:E144" si="78">F142+G142+H142</f>
        <v>60198</v>
      </c>
      <c r="F142" s="589"/>
      <c r="G142" s="589">
        <v>60198</v>
      </c>
      <c r="H142" s="589"/>
      <c r="I142" s="589">
        <f>J142+K142+L142+M142+N142</f>
        <v>54705</v>
      </c>
      <c r="J142" s="589"/>
      <c r="K142" s="589">
        <v>54705</v>
      </c>
      <c r="L142" s="589"/>
      <c r="M142" s="589"/>
      <c r="N142" s="589">
        <f t="shared" ref="N142:N144" si="79">O142+P142</f>
        <v>0</v>
      </c>
      <c r="O142" s="589"/>
      <c r="P142" s="589"/>
      <c r="Q142" s="589">
        <v>5278</v>
      </c>
      <c r="R142" s="590">
        <f t="shared" si="77"/>
        <v>82.033710224035033</v>
      </c>
      <c r="S142" s="591"/>
      <c r="T142" s="590">
        <f t="shared" si="53"/>
        <v>89.94841495966169</v>
      </c>
      <c r="U142" s="568">
        <v>0</v>
      </c>
    </row>
    <row r="143" spans="1:21" ht="38.25" customHeight="1">
      <c r="A143" s="569">
        <v>2</v>
      </c>
      <c r="B143" s="570" t="s">
        <v>559</v>
      </c>
      <c r="C143" s="594">
        <f t="shared" ref="C143:C144" si="80">D143+E143</f>
        <v>20964</v>
      </c>
      <c r="D143" s="594">
        <v>0</v>
      </c>
      <c r="E143" s="594">
        <f t="shared" si="78"/>
        <v>20964</v>
      </c>
      <c r="F143" s="594"/>
      <c r="G143" s="594">
        <v>20964</v>
      </c>
      <c r="H143" s="594"/>
      <c r="I143" s="594">
        <f t="shared" ref="I143:I144" si="81">J143+K143+L143+M143+N143</f>
        <v>20964</v>
      </c>
      <c r="J143" s="594"/>
      <c r="K143" s="594">
        <v>20964</v>
      </c>
      <c r="L143" s="594"/>
      <c r="M143" s="594"/>
      <c r="N143" s="594">
        <f t="shared" si="79"/>
        <v>0</v>
      </c>
      <c r="O143" s="594"/>
      <c r="P143" s="594"/>
      <c r="Q143" s="594">
        <v>0</v>
      </c>
      <c r="R143" s="595">
        <f t="shared" si="77"/>
        <v>100</v>
      </c>
      <c r="S143" s="596"/>
      <c r="T143" s="595">
        <f t="shared" si="53"/>
        <v>100</v>
      </c>
      <c r="U143" s="572">
        <v>0</v>
      </c>
    </row>
    <row r="144" spans="1:21" ht="38.25" customHeight="1">
      <c r="A144" s="573">
        <v>3</v>
      </c>
      <c r="B144" s="574" t="s">
        <v>560</v>
      </c>
      <c r="C144" s="601">
        <f t="shared" si="80"/>
        <v>112341</v>
      </c>
      <c r="D144" s="601">
        <v>884</v>
      </c>
      <c r="E144" s="601">
        <f t="shared" si="78"/>
        <v>111457</v>
      </c>
      <c r="F144" s="601"/>
      <c r="G144" s="601">
        <v>111457</v>
      </c>
      <c r="H144" s="601"/>
      <c r="I144" s="601">
        <f t="shared" si="81"/>
        <v>110871</v>
      </c>
      <c r="J144" s="601"/>
      <c r="K144" s="601">
        <v>110871</v>
      </c>
      <c r="L144" s="601"/>
      <c r="M144" s="601"/>
      <c r="N144" s="601">
        <f t="shared" si="79"/>
        <v>0</v>
      </c>
      <c r="O144" s="601"/>
      <c r="P144" s="601"/>
      <c r="Q144" s="601">
        <v>1510</v>
      </c>
      <c r="R144" s="602">
        <f t="shared" si="77"/>
        <v>98.691483964002458</v>
      </c>
      <c r="S144" s="626"/>
      <c r="T144" s="602">
        <f t="shared" si="53"/>
        <v>100.03560587853056</v>
      </c>
      <c r="U144" s="577">
        <v>0</v>
      </c>
    </row>
  </sheetData>
  <mergeCells count="31">
    <mergeCell ref="A4:U4"/>
    <mergeCell ref="A13:B13"/>
    <mergeCell ref="N9:N11"/>
    <mergeCell ref="O9:O11"/>
    <mergeCell ref="P9:P11"/>
    <mergeCell ref="S8:S11"/>
    <mergeCell ref="G8:G11"/>
    <mergeCell ref="H8:H11"/>
    <mergeCell ref="I8:I11"/>
    <mergeCell ref="J8:J11"/>
    <mergeCell ref="K8:K11"/>
    <mergeCell ref="L8:L11"/>
    <mergeCell ref="M8:M11"/>
    <mergeCell ref="N8:P8"/>
    <mergeCell ref="R8:R11"/>
    <mergeCell ref="R1:U1"/>
    <mergeCell ref="A3:U3"/>
    <mergeCell ref="Q5:U5"/>
    <mergeCell ref="A6:A11"/>
    <mergeCell ref="B6:B11"/>
    <mergeCell ref="C6:C11"/>
    <mergeCell ref="D6:H6"/>
    <mergeCell ref="T8:T11"/>
    <mergeCell ref="U8:U11"/>
    <mergeCell ref="I6:P7"/>
    <mergeCell ref="Q6:Q11"/>
    <mergeCell ref="R6:U7"/>
    <mergeCell ref="D7:D11"/>
    <mergeCell ref="E7:H7"/>
    <mergeCell ref="E8:E11"/>
    <mergeCell ref="F8:F11"/>
  </mergeCells>
  <printOptions horizontalCentered="1"/>
  <pageMargins left="0.19685039370078741" right="0.23622047244094491" top="0.41" bottom="0.36" header="0.35433070866141736" footer="0.27559055118110237"/>
  <pageSetup paperSize="9" scale="40" fitToHeight="5" orientation="landscape" r:id="rId1"/>
  <headerFooter alignWithMargins="0">
    <oddHeader xml:space="preserve">&amp;C&amp;"Times New Roman,Regular"58                 &amp;".VnTime,Regular"                                                                                                                 </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79"/>
  <sheetViews>
    <sheetView zoomScale="40" zoomScaleNormal="40" workbookViewId="0">
      <selection activeCell="I16" sqref="I16"/>
    </sheetView>
  </sheetViews>
  <sheetFormatPr defaultRowHeight="15.75"/>
  <cols>
    <col min="1" max="1" width="4.5" style="38" customWidth="1"/>
    <col min="2" max="2" width="38.875" style="38" customWidth="1"/>
    <col min="3" max="4" width="15" style="38" customWidth="1"/>
    <col min="5" max="7" width="8.5" style="38" customWidth="1"/>
    <col min="8" max="8" width="8.875" style="38" customWidth="1"/>
    <col min="9" max="9" width="12.875" style="38" customWidth="1"/>
    <col min="10" max="10" width="11" style="38" customWidth="1"/>
    <col min="11" max="12" width="14.75" style="38" customWidth="1"/>
    <col min="13" max="13" width="10.625" style="38" customWidth="1"/>
    <col min="14" max="15" width="8.5" style="38" customWidth="1"/>
    <col min="16" max="16" width="9" style="38" customWidth="1"/>
    <col min="17" max="17" width="14.75" style="38" customWidth="1"/>
    <col min="18" max="18" width="11.125" style="38" customWidth="1"/>
    <col min="19" max="25" width="8.5" style="38" customWidth="1"/>
    <col min="26" max="26" width="9.875" style="38" customWidth="1"/>
    <col min="27" max="27" width="16.125" style="16" bestFit="1" customWidth="1"/>
    <col min="28" max="32" width="9" style="38"/>
    <col min="33" max="33" width="12.625" style="38" bestFit="1" customWidth="1"/>
    <col min="34" max="16384" width="9" style="38"/>
  </cols>
  <sheetData>
    <row r="1" spans="1:27" ht="21" customHeight="1">
      <c r="A1" s="753" t="str">
        <f>'PL5200'!A1:B1</f>
        <v>HỘI NHÂN DÂN TỈNH BÌNH PHƯỚC</v>
      </c>
      <c r="B1" s="753"/>
      <c r="C1" s="753"/>
      <c r="D1" s="41"/>
      <c r="E1" s="143"/>
      <c r="F1" s="143"/>
      <c r="G1" s="143"/>
      <c r="H1" s="143"/>
      <c r="I1" s="143"/>
      <c r="J1" s="41"/>
      <c r="K1" s="41"/>
      <c r="L1" s="41"/>
      <c r="M1" s="143"/>
      <c r="N1" s="143"/>
      <c r="O1" s="143"/>
      <c r="P1" s="143"/>
      <c r="Q1" s="143"/>
      <c r="R1" s="41"/>
      <c r="S1" s="41"/>
      <c r="T1" s="143"/>
      <c r="U1" s="759" t="s">
        <v>275</v>
      </c>
      <c r="V1" s="759"/>
      <c r="W1" s="759"/>
      <c r="X1" s="759"/>
      <c r="Y1" s="759"/>
      <c r="Z1" s="759"/>
    </row>
    <row r="2" spans="1:27" ht="36.75" customHeight="1">
      <c r="A2" s="144"/>
      <c r="B2" s="144"/>
      <c r="C2" s="41"/>
      <c r="D2" s="41"/>
      <c r="E2" s="41"/>
      <c r="F2" s="41"/>
      <c r="G2" s="41"/>
      <c r="H2" s="41"/>
      <c r="I2" s="41"/>
      <c r="J2" s="41"/>
      <c r="K2" s="41"/>
      <c r="L2" s="41"/>
      <c r="M2" s="41"/>
      <c r="N2" s="41"/>
      <c r="O2" s="41"/>
      <c r="P2" s="41"/>
      <c r="Q2" s="41"/>
      <c r="R2" s="41"/>
      <c r="S2" s="41"/>
      <c r="T2" s="41"/>
      <c r="U2" s="710" t="s">
        <v>340</v>
      </c>
      <c r="V2" s="710"/>
      <c r="W2" s="710"/>
      <c r="X2" s="710"/>
      <c r="Y2" s="710"/>
      <c r="Z2" s="710"/>
    </row>
    <row r="3" spans="1:27" ht="26.25" customHeight="1">
      <c r="A3" s="759" t="s">
        <v>517</v>
      </c>
      <c r="B3" s="759"/>
      <c r="C3" s="759"/>
      <c r="D3" s="759"/>
      <c r="E3" s="759"/>
      <c r="F3" s="759"/>
      <c r="G3" s="759"/>
      <c r="H3" s="759"/>
      <c r="I3" s="759"/>
      <c r="J3" s="759"/>
      <c r="K3" s="759"/>
      <c r="L3" s="759"/>
      <c r="M3" s="759"/>
      <c r="N3" s="759"/>
      <c r="O3" s="759"/>
      <c r="P3" s="759"/>
      <c r="Q3" s="759"/>
      <c r="R3" s="759"/>
      <c r="S3" s="759"/>
      <c r="T3" s="759"/>
      <c r="U3" s="759"/>
      <c r="V3" s="759"/>
      <c r="W3" s="759"/>
      <c r="X3" s="759"/>
      <c r="Y3" s="759"/>
      <c r="Z3" s="759"/>
    </row>
    <row r="4" spans="1:27" ht="21" customHeight="1">
      <c r="A4" s="838" t="str">
        <f>'PL5200'!A6:F6</f>
        <v>(Kèm theo Nghị quyết số:         /NQ-HĐND ngày      tháng  12  năm 2023 của Hội đồng nhân dân tỉnh)</v>
      </c>
      <c r="B4" s="838"/>
      <c r="C4" s="838"/>
      <c r="D4" s="838"/>
      <c r="E4" s="838"/>
      <c r="F4" s="838"/>
      <c r="G4" s="838"/>
      <c r="H4" s="838"/>
      <c r="I4" s="838"/>
      <c r="J4" s="838"/>
      <c r="K4" s="838"/>
      <c r="L4" s="838"/>
      <c r="M4" s="838"/>
      <c r="N4" s="838"/>
      <c r="O4" s="838"/>
      <c r="P4" s="838"/>
      <c r="Q4" s="838"/>
      <c r="R4" s="838"/>
      <c r="S4" s="838"/>
      <c r="T4" s="838"/>
      <c r="U4" s="838"/>
      <c r="V4" s="838"/>
      <c r="W4" s="838"/>
      <c r="X4" s="838"/>
      <c r="Y4" s="838"/>
      <c r="Z4" s="838"/>
    </row>
    <row r="5" spans="1:27" ht="17.25" customHeight="1">
      <c r="A5" s="838"/>
      <c r="B5" s="838"/>
      <c r="C5" s="838"/>
      <c r="D5" s="838"/>
      <c r="E5" s="838"/>
      <c r="F5" s="838"/>
      <c r="G5" s="838"/>
      <c r="H5" s="838"/>
      <c r="I5" s="838"/>
      <c r="J5" s="838"/>
      <c r="K5" s="838"/>
      <c r="L5" s="838"/>
      <c r="M5" s="838"/>
      <c r="N5" s="838"/>
      <c r="O5" s="838"/>
      <c r="P5" s="838"/>
      <c r="Q5" s="838"/>
      <c r="R5" s="838"/>
      <c r="S5" s="838"/>
      <c r="T5" s="838"/>
      <c r="U5" s="838"/>
      <c r="V5" s="838"/>
      <c r="W5" s="838"/>
      <c r="X5" s="838"/>
      <c r="Y5" s="838"/>
      <c r="Z5" s="838"/>
    </row>
    <row r="6" spans="1:27" ht="17.25" customHeight="1">
      <c r="A6" s="145"/>
      <c r="B6" s="145"/>
      <c r="C6" s="326"/>
      <c r="D6" s="41"/>
      <c r="E6" s="41"/>
      <c r="F6" s="41"/>
      <c r="G6" s="41"/>
      <c r="H6" s="41"/>
      <c r="I6" s="41"/>
      <c r="J6" s="41"/>
      <c r="K6" s="41"/>
      <c r="L6" s="41"/>
      <c r="M6" s="41"/>
      <c r="N6" s="41"/>
      <c r="O6" s="41"/>
      <c r="P6" s="41"/>
      <c r="Q6" s="41"/>
      <c r="R6" s="41"/>
      <c r="S6" s="41"/>
      <c r="T6" s="41"/>
      <c r="U6" s="41"/>
      <c r="V6" s="41"/>
      <c r="W6" s="41"/>
      <c r="X6" s="41"/>
      <c r="Y6" s="41"/>
      <c r="Z6" s="41"/>
    </row>
    <row r="7" spans="1:27" ht="19.5" customHeight="1">
      <c r="A7" s="146"/>
      <c r="B7" s="146"/>
      <c r="C7" s="39"/>
      <c r="D7" s="327"/>
      <c r="E7" s="839"/>
      <c r="F7" s="839"/>
      <c r="G7" s="839"/>
      <c r="H7" s="839"/>
      <c r="I7" s="839"/>
      <c r="J7" s="839"/>
      <c r="K7" s="39"/>
      <c r="L7" s="39"/>
      <c r="M7" s="839"/>
      <c r="N7" s="839"/>
      <c r="O7" s="839"/>
      <c r="P7" s="839"/>
      <c r="Q7" s="839"/>
      <c r="R7" s="839"/>
      <c r="S7" s="39"/>
      <c r="U7" s="185"/>
      <c r="V7" s="185"/>
      <c r="W7" s="185"/>
      <c r="X7" s="757" t="s">
        <v>209</v>
      </c>
      <c r="Y7" s="757"/>
      <c r="Z7" s="757"/>
    </row>
    <row r="8" spans="1:27" s="122" customFormat="1" ht="27.75" customHeight="1">
      <c r="A8" s="778" t="s">
        <v>276</v>
      </c>
      <c r="B8" s="778" t="s">
        <v>277</v>
      </c>
      <c r="C8" s="780" t="s">
        <v>237</v>
      </c>
      <c r="D8" s="784"/>
      <c r="E8" s="784"/>
      <c r="F8" s="784"/>
      <c r="G8" s="784"/>
      <c r="H8" s="784"/>
      <c r="I8" s="784"/>
      <c r="J8" s="781"/>
      <c r="K8" s="780" t="s">
        <v>238</v>
      </c>
      <c r="L8" s="784"/>
      <c r="M8" s="784"/>
      <c r="N8" s="784"/>
      <c r="O8" s="784"/>
      <c r="P8" s="784"/>
      <c r="Q8" s="784"/>
      <c r="R8" s="781"/>
      <c r="S8" s="780" t="s">
        <v>239</v>
      </c>
      <c r="T8" s="784"/>
      <c r="U8" s="784"/>
      <c r="V8" s="784"/>
      <c r="W8" s="784"/>
      <c r="X8" s="784"/>
      <c r="Y8" s="784"/>
      <c r="Z8" s="781"/>
      <c r="AA8" s="123"/>
    </row>
    <row r="9" spans="1:27" s="122" customFormat="1" ht="27.75" customHeight="1">
      <c r="A9" s="832"/>
      <c r="B9" s="832"/>
      <c r="C9" s="778" t="s">
        <v>144</v>
      </c>
      <c r="D9" s="778" t="s">
        <v>278</v>
      </c>
      <c r="E9" s="840" t="s">
        <v>96</v>
      </c>
      <c r="F9" s="841"/>
      <c r="G9" s="841"/>
      <c r="H9" s="842"/>
      <c r="I9" s="842"/>
      <c r="J9" s="843"/>
      <c r="K9" s="778" t="s">
        <v>144</v>
      </c>
      <c r="L9" s="778" t="s">
        <v>278</v>
      </c>
      <c r="M9" s="833" t="s">
        <v>96</v>
      </c>
      <c r="N9" s="835"/>
      <c r="O9" s="835"/>
      <c r="P9" s="836"/>
      <c r="Q9" s="836"/>
      <c r="R9" s="837"/>
      <c r="S9" s="778" t="s">
        <v>144</v>
      </c>
      <c r="T9" s="778" t="s">
        <v>278</v>
      </c>
      <c r="U9" s="833" t="s">
        <v>96</v>
      </c>
      <c r="V9" s="835"/>
      <c r="W9" s="835"/>
      <c r="X9" s="836"/>
      <c r="Y9" s="836"/>
      <c r="Z9" s="837"/>
      <c r="AA9" s="123"/>
    </row>
    <row r="10" spans="1:27" s="122" customFormat="1" ht="27.75" customHeight="1">
      <c r="A10" s="832"/>
      <c r="B10" s="832"/>
      <c r="C10" s="832"/>
      <c r="D10" s="832"/>
      <c r="E10" s="778" t="s">
        <v>144</v>
      </c>
      <c r="F10" s="833" t="s">
        <v>279</v>
      </c>
      <c r="G10" s="834"/>
      <c r="H10" s="778" t="s">
        <v>280</v>
      </c>
      <c r="I10" s="778" t="s">
        <v>281</v>
      </c>
      <c r="J10" s="778" t="s">
        <v>282</v>
      </c>
      <c r="K10" s="832"/>
      <c r="L10" s="832"/>
      <c r="M10" s="778" t="s">
        <v>144</v>
      </c>
      <c r="N10" s="833" t="s">
        <v>279</v>
      </c>
      <c r="O10" s="834"/>
      <c r="P10" s="778" t="s">
        <v>280</v>
      </c>
      <c r="Q10" s="778" t="s">
        <v>281</v>
      </c>
      <c r="R10" s="778" t="s">
        <v>282</v>
      </c>
      <c r="S10" s="832"/>
      <c r="T10" s="832"/>
      <c r="U10" s="778" t="s">
        <v>144</v>
      </c>
      <c r="V10" s="833" t="s">
        <v>279</v>
      </c>
      <c r="W10" s="834"/>
      <c r="X10" s="778" t="s">
        <v>280</v>
      </c>
      <c r="Y10" s="778" t="s">
        <v>281</v>
      </c>
      <c r="Z10" s="778" t="s">
        <v>282</v>
      </c>
      <c r="AA10" s="123"/>
    </row>
    <row r="11" spans="1:27" s="122" customFormat="1" ht="27.75" customHeight="1">
      <c r="A11" s="832"/>
      <c r="B11" s="832"/>
      <c r="C11" s="832"/>
      <c r="D11" s="832"/>
      <c r="E11" s="832"/>
      <c r="F11" s="778" t="s">
        <v>254</v>
      </c>
      <c r="G11" s="778" t="s">
        <v>253</v>
      </c>
      <c r="H11" s="832"/>
      <c r="I11" s="832"/>
      <c r="J11" s="832"/>
      <c r="K11" s="832"/>
      <c r="L11" s="832"/>
      <c r="M11" s="832"/>
      <c r="N11" s="778" t="s">
        <v>254</v>
      </c>
      <c r="O11" s="778" t="s">
        <v>253</v>
      </c>
      <c r="P11" s="832"/>
      <c r="Q11" s="832"/>
      <c r="R11" s="832"/>
      <c r="S11" s="832"/>
      <c r="T11" s="832"/>
      <c r="U11" s="832"/>
      <c r="V11" s="778" t="s">
        <v>254</v>
      </c>
      <c r="W11" s="778" t="s">
        <v>253</v>
      </c>
      <c r="X11" s="832"/>
      <c r="Y11" s="832"/>
      <c r="Z11" s="832"/>
      <c r="AA11" s="123"/>
    </row>
    <row r="12" spans="1:27" s="122" customFormat="1" ht="27.75" customHeight="1">
      <c r="A12" s="832"/>
      <c r="B12" s="832"/>
      <c r="C12" s="832"/>
      <c r="D12" s="832"/>
      <c r="E12" s="832"/>
      <c r="F12" s="832"/>
      <c r="G12" s="832"/>
      <c r="H12" s="832"/>
      <c r="I12" s="832"/>
      <c r="J12" s="832"/>
      <c r="K12" s="832"/>
      <c r="L12" s="832"/>
      <c r="M12" s="832"/>
      <c r="N12" s="832"/>
      <c r="O12" s="832"/>
      <c r="P12" s="832"/>
      <c r="Q12" s="832"/>
      <c r="R12" s="832"/>
      <c r="S12" s="832"/>
      <c r="T12" s="832"/>
      <c r="U12" s="832"/>
      <c r="V12" s="832"/>
      <c r="W12" s="832"/>
      <c r="X12" s="832"/>
      <c r="Y12" s="832"/>
      <c r="Z12" s="832"/>
      <c r="AA12" s="123"/>
    </row>
    <row r="13" spans="1:27" s="122" customFormat="1" ht="27.75" customHeight="1">
      <c r="A13" s="832"/>
      <c r="B13" s="832"/>
      <c r="C13" s="832"/>
      <c r="D13" s="832"/>
      <c r="E13" s="832"/>
      <c r="F13" s="832"/>
      <c r="G13" s="832"/>
      <c r="H13" s="832"/>
      <c r="I13" s="832"/>
      <c r="J13" s="832"/>
      <c r="K13" s="832"/>
      <c r="L13" s="832"/>
      <c r="M13" s="832"/>
      <c r="N13" s="832"/>
      <c r="O13" s="832"/>
      <c r="P13" s="832"/>
      <c r="Q13" s="832"/>
      <c r="R13" s="832"/>
      <c r="S13" s="832"/>
      <c r="T13" s="832"/>
      <c r="U13" s="832"/>
      <c r="V13" s="832"/>
      <c r="W13" s="832"/>
      <c r="X13" s="832"/>
      <c r="Y13" s="832"/>
      <c r="Z13" s="832"/>
      <c r="AA13" s="123"/>
    </row>
    <row r="14" spans="1:27" s="122" customFormat="1" ht="27.75" customHeight="1">
      <c r="A14" s="832"/>
      <c r="B14" s="832"/>
      <c r="C14" s="832"/>
      <c r="D14" s="832"/>
      <c r="E14" s="832"/>
      <c r="F14" s="832"/>
      <c r="G14" s="832"/>
      <c r="H14" s="832"/>
      <c r="I14" s="832"/>
      <c r="J14" s="832"/>
      <c r="K14" s="832"/>
      <c r="L14" s="832"/>
      <c r="M14" s="832"/>
      <c r="N14" s="832"/>
      <c r="O14" s="832"/>
      <c r="P14" s="832"/>
      <c r="Q14" s="832"/>
      <c r="R14" s="832"/>
      <c r="S14" s="832"/>
      <c r="T14" s="832"/>
      <c r="U14" s="832"/>
      <c r="V14" s="832"/>
      <c r="W14" s="832"/>
      <c r="X14" s="832"/>
      <c r="Y14" s="832"/>
      <c r="Z14" s="832"/>
      <c r="AA14" s="123"/>
    </row>
    <row r="15" spans="1:27" s="122" customFormat="1" ht="96" customHeight="1">
      <c r="A15" s="779"/>
      <c r="B15" s="779"/>
      <c r="C15" s="779"/>
      <c r="D15" s="779"/>
      <c r="E15" s="779"/>
      <c r="F15" s="779"/>
      <c r="G15" s="779"/>
      <c r="H15" s="779"/>
      <c r="I15" s="779"/>
      <c r="J15" s="779"/>
      <c r="K15" s="779"/>
      <c r="L15" s="779"/>
      <c r="M15" s="779"/>
      <c r="N15" s="779"/>
      <c r="O15" s="779"/>
      <c r="P15" s="779"/>
      <c r="Q15" s="779"/>
      <c r="R15" s="779"/>
      <c r="S15" s="779"/>
      <c r="T15" s="779"/>
      <c r="U15" s="779"/>
      <c r="V15" s="779"/>
      <c r="W15" s="779"/>
      <c r="X15" s="779"/>
      <c r="Y15" s="779"/>
      <c r="Z15" s="779"/>
      <c r="AA15" s="123"/>
    </row>
    <row r="16" spans="1:27" s="150" customFormat="1" ht="33.75" customHeight="1">
      <c r="A16" s="365" t="s">
        <v>1</v>
      </c>
      <c r="B16" s="366" t="s">
        <v>2</v>
      </c>
      <c r="C16" s="365">
        <v>1</v>
      </c>
      <c r="D16" s="365">
        <f>C16+1</f>
        <v>2</v>
      </c>
      <c r="E16" s="365" t="s">
        <v>283</v>
      </c>
      <c r="F16" s="365">
        <v>4</v>
      </c>
      <c r="G16" s="365">
        <f t="shared" ref="G16:L16" si="0">F16+1</f>
        <v>5</v>
      </c>
      <c r="H16" s="365">
        <f t="shared" si="0"/>
        <v>6</v>
      </c>
      <c r="I16" s="365">
        <f t="shared" si="0"/>
        <v>7</v>
      </c>
      <c r="J16" s="365">
        <f t="shared" si="0"/>
        <v>8</v>
      </c>
      <c r="K16" s="365">
        <f t="shared" si="0"/>
        <v>9</v>
      </c>
      <c r="L16" s="365">
        <f t="shared" si="0"/>
        <v>10</v>
      </c>
      <c r="M16" s="365" t="s">
        <v>284</v>
      </c>
      <c r="N16" s="365">
        <v>12</v>
      </c>
      <c r="O16" s="365">
        <f>N16+1</f>
        <v>13</v>
      </c>
      <c r="P16" s="365">
        <f>O16+1</f>
        <v>14</v>
      </c>
      <c r="Q16" s="365">
        <f>P16+1</f>
        <v>15</v>
      </c>
      <c r="R16" s="365">
        <f>Q16+1</f>
        <v>16</v>
      </c>
      <c r="S16" s="365" t="s">
        <v>285</v>
      </c>
      <c r="T16" s="365" t="s">
        <v>286</v>
      </c>
      <c r="U16" s="365" t="s">
        <v>287</v>
      </c>
      <c r="V16" s="365" t="s">
        <v>288</v>
      </c>
      <c r="W16" s="365" t="s">
        <v>289</v>
      </c>
      <c r="X16" s="365" t="s">
        <v>290</v>
      </c>
      <c r="Y16" s="365" t="s">
        <v>291</v>
      </c>
      <c r="Z16" s="365" t="s">
        <v>292</v>
      </c>
      <c r="AA16" s="195"/>
    </row>
    <row r="17" spans="1:36" s="39" customFormat="1" ht="50.25" customHeight="1">
      <c r="A17" s="754" t="s">
        <v>271</v>
      </c>
      <c r="B17" s="754"/>
      <c r="C17" s="445">
        <f t="shared" ref="C17:J17" si="1">SUM(C18:C28)</f>
        <v>4255401</v>
      </c>
      <c r="D17" s="445">
        <f t="shared" si="1"/>
        <v>3087149</v>
      </c>
      <c r="E17" s="445">
        <f t="shared" si="1"/>
        <v>0</v>
      </c>
      <c r="F17" s="445">
        <f t="shared" si="1"/>
        <v>0</v>
      </c>
      <c r="G17" s="445">
        <f t="shared" si="1"/>
        <v>0</v>
      </c>
      <c r="H17" s="445">
        <f t="shared" si="1"/>
        <v>0</v>
      </c>
      <c r="I17" s="447">
        <f t="shared" si="1"/>
        <v>1168252</v>
      </c>
      <c r="J17" s="445">
        <f t="shared" si="1"/>
        <v>0</v>
      </c>
      <c r="K17" s="445">
        <f>SUM(K18:K28)</f>
        <v>5224503.4000000004</v>
      </c>
      <c r="L17" s="445">
        <f t="shared" ref="L17:Q17" si="2">SUM(L18:L28)</f>
        <v>3082130</v>
      </c>
      <c r="M17" s="445">
        <f t="shared" si="2"/>
        <v>0</v>
      </c>
      <c r="N17" s="445">
        <f t="shared" si="2"/>
        <v>0</v>
      </c>
      <c r="O17" s="445">
        <f t="shared" si="2"/>
        <v>0</v>
      </c>
      <c r="P17" s="445">
        <f t="shared" si="2"/>
        <v>0</v>
      </c>
      <c r="Q17" s="445">
        <f t="shared" si="2"/>
        <v>2142373.4</v>
      </c>
      <c r="R17" s="445">
        <f>SUM(R18:R28)</f>
        <v>0</v>
      </c>
      <c r="S17" s="446">
        <f>K17/C17*100</f>
        <v>122.77346835233625</v>
      </c>
      <c r="T17" s="446">
        <f>L17/D17*100</f>
        <v>99.837422813087414</v>
      </c>
      <c r="U17" s="446"/>
      <c r="V17" s="446"/>
      <c r="W17" s="446"/>
      <c r="X17" s="446"/>
      <c r="Y17" s="446">
        <f>Q17/I17*100</f>
        <v>183.38281466669861</v>
      </c>
      <c r="Z17" s="448"/>
      <c r="AA17" s="197"/>
      <c r="AB17" s="197"/>
      <c r="AC17" s="197"/>
      <c r="AD17" s="197"/>
      <c r="AE17" s="197"/>
      <c r="AF17" s="197"/>
      <c r="AG17" s="197"/>
      <c r="AH17" s="197"/>
      <c r="AI17" s="197"/>
      <c r="AJ17" s="197"/>
    </row>
    <row r="18" spans="1:36" s="39" customFormat="1" ht="55.5" customHeight="1">
      <c r="A18" s="274">
        <v>1</v>
      </c>
      <c r="B18" s="275" t="s">
        <v>311</v>
      </c>
      <c r="C18" s="276">
        <f>+D18+E18+SUM(H18:J18)</f>
        <v>108880</v>
      </c>
      <c r="D18" s="276">
        <v>0</v>
      </c>
      <c r="E18" s="276"/>
      <c r="F18" s="276"/>
      <c r="G18" s="276"/>
      <c r="H18" s="276"/>
      <c r="I18" s="276">
        <v>108880</v>
      </c>
      <c r="J18" s="276"/>
      <c r="K18" s="276">
        <f>+L18+M18+SUM(P18:R18)</f>
        <v>112122.6</v>
      </c>
      <c r="L18" s="276">
        <v>0</v>
      </c>
      <c r="M18" s="276"/>
      <c r="N18" s="276"/>
      <c r="O18" s="276"/>
      <c r="P18" s="276"/>
      <c r="Q18" s="276">
        <f>112123-0.4</f>
        <v>112122.6</v>
      </c>
      <c r="R18" s="276"/>
      <c r="S18" s="170">
        <f t="shared" ref="S18:S28" si="3">K18/C18*100</f>
        <v>102.97814107274064</v>
      </c>
      <c r="T18" s="449"/>
      <c r="U18" s="170"/>
      <c r="V18" s="170"/>
      <c r="W18" s="170"/>
      <c r="X18" s="170"/>
      <c r="Y18" s="170">
        <f t="shared" ref="Y18:Y28" si="4">Q18/I18*100</f>
        <v>102.97814107274064</v>
      </c>
      <c r="Z18" s="170"/>
      <c r="AA18" s="197"/>
      <c r="AB18" s="327"/>
    </row>
    <row r="19" spans="1:36" s="39" customFormat="1" ht="55.5" customHeight="1">
      <c r="A19" s="177">
        <v>2</v>
      </c>
      <c r="B19" s="269" t="s">
        <v>312</v>
      </c>
      <c r="C19" s="263">
        <f>+D19+E19+SUM(H19:J19)</f>
        <v>202610</v>
      </c>
      <c r="D19" s="263">
        <v>88190</v>
      </c>
      <c r="E19" s="263"/>
      <c r="F19" s="263"/>
      <c r="G19" s="263"/>
      <c r="H19" s="263"/>
      <c r="I19" s="263">
        <v>114420</v>
      </c>
      <c r="J19" s="263"/>
      <c r="K19" s="263">
        <f t="shared" ref="K19:K28" si="5">+L19+M19+SUM(P19:R19)</f>
        <v>226578.6</v>
      </c>
      <c r="L19" s="263">
        <v>88190</v>
      </c>
      <c r="M19" s="263"/>
      <c r="N19" s="263"/>
      <c r="O19" s="263"/>
      <c r="P19" s="263"/>
      <c r="Q19" s="263">
        <f>138389-0.4</f>
        <v>138388.6</v>
      </c>
      <c r="R19" s="263"/>
      <c r="S19" s="176">
        <f t="shared" si="3"/>
        <v>111.82991954987413</v>
      </c>
      <c r="T19" s="263">
        <v>0</v>
      </c>
      <c r="U19" s="176"/>
      <c r="V19" s="176"/>
      <c r="W19" s="176"/>
      <c r="X19" s="176"/>
      <c r="Y19" s="176">
        <f t="shared" si="4"/>
        <v>120.9479112043349</v>
      </c>
      <c r="Z19" s="176"/>
      <c r="AA19" s="197"/>
    </row>
    <row r="20" spans="1:36" s="39" customFormat="1" ht="55.5" customHeight="1">
      <c r="A20" s="177">
        <v>3</v>
      </c>
      <c r="B20" s="269" t="s">
        <v>313</v>
      </c>
      <c r="C20" s="263">
        <f t="shared" ref="C20:C28" si="6">+D20+E20+SUM(H20:J20)</f>
        <v>232266</v>
      </c>
      <c r="D20" s="263">
        <v>146986</v>
      </c>
      <c r="E20" s="263"/>
      <c r="F20" s="263"/>
      <c r="G20" s="263"/>
      <c r="H20" s="263"/>
      <c r="I20" s="263">
        <v>85280</v>
      </c>
      <c r="J20" s="263"/>
      <c r="K20" s="263">
        <f t="shared" si="5"/>
        <v>263609.59999999998</v>
      </c>
      <c r="L20" s="263">
        <v>146986</v>
      </c>
      <c r="M20" s="263"/>
      <c r="N20" s="263"/>
      <c r="O20" s="263"/>
      <c r="P20" s="263"/>
      <c r="Q20" s="263">
        <f>116624-0.4</f>
        <v>116623.6</v>
      </c>
      <c r="R20" s="263"/>
      <c r="S20" s="176">
        <f t="shared" si="3"/>
        <v>113.494700042193</v>
      </c>
      <c r="T20" s="176">
        <f t="shared" ref="T20:T28" si="7">L20/D20*100</f>
        <v>100</v>
      </c>
      <c r="U20" s="176"/>
      <c r="V20" s="176"/>
      <c r="W20" s="176"/>
      <c r="X20" s="176"/>
      <c r="Y20" s="176">
        <f t="shared" si="4"/>
        <v>136.75375234521576</v>
      </c>
      <c r="Z20" s="176"/>
      <c r="AA20" s="197"/>
    </row>
    <row r="21" spans="1:36" s="39" customFormat="1" ht="55.5" customHeight="1">
      <c r="A21" s="177">
        <v>4</v>
      </c>
      <c r="B21" s="269" t="s">
        <v>314</v>
      </c>
      <c r="C21" s="263">
        <f t="shared" si="6"/>
        <v>328254</v>
      </c>
      <c r="D21" s="263">
        <v>274098</v>
      </c>
      <c r="E21" s="263"/>
      <c r="F21" s="263"/>
      <c r="G21" s="263"/>
      <c r="H21" s="263"/>
      <c r="I21" s="263">
        <v>54156</v>
      </c>
      <c r="J21" s="263"/>
      <c r="K21" s="263">
        <f t="shared" si="5"/>
        <v>366986.6</v>
      </c>
      <c r="L21" s="263">
        <v>274098</v>
      </c>
      <c r="M21" s="263"/>
      <c r="N21" s="263"/>
      <c r="O21" s="263"/>
      <c r="P21" s="263"/>
      <c r="Q21" s="263">
        <f>92889-0.4</f>
        <v>92888.6</v>
      </c>
      <c r="R21" s="263"/>
      <c r="S21" s="176">
        <f t="shared" si="3"/>
        <v>111.79958203098819</v>
      </c>
      <c r="T21" s="176">
        <f t="shared" si="7"/>
        <v>100</v>
      </c>
      <c r="U21" s="176"/>
      <c r="V21" s="176"/>
      <c r="W21" s="176"/>
      <c r="X21" s="176"/>
      <c r="Y21" s="176">
        <f t="shared" si="4"/>
        <v>171.52042248319671</v>
      </c>
      <c r="Z21" s="176"/>
      <c r="AA21" s="197"/>
    </row>
    <row r="22" spans="1:36" s="39" customFormat="1" ht="55.5" customHeight="1">
      <c r="A22" s="177">
        <v>5</v>
      </c>
      <c r="B22" s="174" t="s">
        <v>317</v>
      </c>
      <c r="C22" s="263">
        <f>+D22+E22+SUM(H22:J22)</f>
        <v>618920</v>
      </c>
      <c r="D22" s="263">
        <v>502640</v>
      </c>
      <c r="E22" s="263"/>
      <c r="F22" s="263"/>
      <c r="G22" s="263"/>
      <c r="H22" s="263"/>
      <c r="I22" s="263">
        <v>116280</v>
      </c>
      <c r="J22" s="263"/>
      <c r="K22" s="263">
        <f>+L22+M22+SUM(P22:R22)</f>
        <v>884231</v>
      </c>
      <c r="L22" s="263">
        <v>502640</v>
      </c>
      <c r="M22" s="263"/>
      <c r="N22" s="263"/>
      <c r="O22" s="263"/>
      <c r="P22" s="263"/>
      <c r="Q22" s="263">
        <v>381591</v>
      </c>
      <c r="R22" s="263"/>
      <c r="S22" s="176">
        <f t="shared" ref="S22:T24" si="8">K22/C22*100</f>
        <v>142.86676791830934</v>
      </c>
      <c r="T22" s="176">
        <f t="shared" si="8"/>
        <v>100</v>
      </c>
      <c r="U22" s="176"/>
      <c r="V22" s="176"/>
      <c r="W22" s="176"/>
      <c r="X22" s="176"/>
      <c r="Y22" s="176">
        <f t="shared" ref="Y22:Y24" si="9">Q22/I22*100</f>
        <v>328.16563467492261</v>
      </c>
      <c r="Z22" s="176"/>
      <c r="AA22" s="197"/>
    </row>
    <row r="23" spans="1:36" s="39" customFormat="1" ht="55.5" customHeight="1">
      <c r="A23" s="177">
        <v>6</v>
      </c>
      <c r="B23" s="174" t="s">
        <v>318</v>
      </c>
      <c r="C23" s="263">
        <f>+D23+E23+SUM(H23:J23)</f>
        <v>407437</v>
      </c>
      <c r="D23" s="263">
        <v>291013</v>
      </c>
      <c r="E23" s="263"/>
      <c r="F23" s="263"/>
      <c r="G23" s="263"/>
      <c r="H23" s="263"/>
      <c r="I23" s="263">
        <v>116424</v>
      </c>
      <c r="J23" s="263"/>
      <c r="K23" s="263">
        <f>+L23+M23+SUM(P23:R23)</f>
        <v>464535</v>
      </c>
      <c r="L23" s="263">
        <v>291013</v>
      </c>
      <c r="M23" s="263"/>
      <c r="N23" s="263"/>
      <c r="O23" s="263"/>
      <c r="P23" s="263"/>
      <c r="Q23" s="263">
        <v>173522</v>
      </c>
      <c r="R23" s="263"/>
      <c r="S23" s="176">
        <f t="shared" si="8"/>
        <v>114.01394571430674</v>
      </c>
      <c r="T23" s="176">
        <f t="shared" si="8"/>
        <v>100</v>
      </c>
      <c r="U23" s="176"/>
      <c r="V23" s="176"/>
      <c r="W23" s="176"/>
      <c r="X23" s="176"/>
      <c r="Y23" s="176">
        <f t="shared" si="9"/>
        <v>149.04315261458117</v>
      </c>
      <c r="Z23" s="176"/>
      <c r="AA23" s="197"/>
    </row>
    <row r="24" spans="1:36" s="39" customFormat="1" ht="55.5" customHeight="1">
      <c r="A24" s="177">
        <v>7</v>
      </c>
      <c r="B24" s="174" t="s">
        <v>319</v>
      </c>
      <c r="C24" s="263">
        <f>+D24+E24+SUM(H24:J24)</f>
        <v>729982</v>
      </c>
      <c r="D24" s="263">
        <v>606206</v>
      </c>
      <c r="E24" s="263"/>
      <c r="F24" s="263"/>
      <c r="G24" s="263"/>
      <c r="H24" s="263"/>
      <c r="I24" s="263">
        <v>123776</v>
      </c>
      <c r="J24" s="263"/>
      <c r="K24" s="263">
        <f>+L24+M24+SUM(P24:R24)</f>
        <v>908072</v>
      </c>
      <c r="L24" s="263">
        <v>606206</v>
      </c>
      <c r="M24" s="263"/>
      <c r="N24" s="263"/>
      <c r="O24" s="263"/>
      <c r="P24" s="263"/>
      <c r="Q24" s="263">
        <v>301866</v>
      </c>
      <c r="R24" s="263"/>
      <c r="S24" s="176">
        <f t="shared" si="8"/>
        <v>124.39649196829509</v>
      </c>
      <c r="T24" s="176">
        <f t="shared" si="8"/>
        <v>100</v>
      </c>
      <c r="U24" s="176"/>
      <c r="V24" s="176"/>
      <c r="W24" s="176"/>
      <c r="X24" s="176"/>
      <c r="Y24" s="176">
        <f t="shared" si="9"/>
        <v>243.88088159255429</v>
      </c>
      <c r="Z24" s="176"/>
      <c r="AA24" s="197"/>
    </row>
    <row r="25" spans="1:36" s="39" customFormat="1" ht="55.5" customHeight="1">
      <c r="A25" s="177">
        <v>8</v>
      </c>
      <c r="B25" s="269" t="s">
        <v>315</v>
      </c>
      <c r="C25" s="263">
        <f t="shared" si="6"/>
        <v>135802</v>
      </c>
      <c r="D25" s="263">
        <v>61978</v>
      </c>
      <c r="E25" s="263"/>
      <c r="F25" s="263"/>
      <c r="G25" s="263"/>
      <c r="H25" s="263"/>
      <c r="I25" s="263">
        <v>73824</v>
      </c>
      <c r="J25" s="263"/>
      <c r="K25" s="263">
        <f t="shared" si="5"/>
        <v>130502</v>
      </c>
      <c r="L25" s="263">
        <v>56959</v>
      </c>
      <c r="M25" s="263"/>
      <c r="N25" s="263"/>
      <c r="O25" s="263"/>
      <c r="P25" s="263"/>
      <c r="Q25" s="263">
        <v>73543</v>
      </c>
      <c r="R25" s="263"/>
      <c r="S25" s="176">
        <f t="shared" si="3"/>
        <v>96.097259245077396</v>
      </c>
      <c r="T25" s="176">
        <f t="shared" si="7"/>
        <v>91.901965213462844</v>
      </c>
      <c r="U25" s="176"/>
      <c r="V25" s="176"/>
      <c r="W25" s="176"/>
      <c r="X25" s="176"/>
      <c r="Y25" s="176">
        <f t="shared" si="4"/>
        <v>99.619364976159517</v>
      </c>
      <c r="Z25" s="176"/>
      <c r="AA25" s="197"/>
    </row>
    <row r="26" spans="1:36" s="39" customFormat="1" ht="55.5" customHeight="1">
      <c r="A26" s="177">
        <v>9</v>
      </c>
      <c r="B26" s="174" t="s">
        <v>316</v>
      </c>
      <c r="C26" s="263">
        <f t="shared" si="6"/>
        <v>446629</v>
      </c>
      <c r="D26" s="263">
        <v>310849</v>
      </c>
      <c r="E26" s="263"/>
      <c r="F26" s="263"/>
      <c r="G26" s="263"/>
      <c r="H26" s="263"/>
      <c r="I26" s="263">
        <v>135780</v>
      </c>
      <c r="J26" s="263"/>
      <c r="K26" s="263">
        <f t="shared" si="5"/>
        <v>558496</v>
      </c>
      <c r="L26" s="263">
        <v>310849</v>
      </c>
      <c r="M26" s="263"/>
      <c r="N26" s="263"/>
      <c r="O26" s="263"/>
      <c r="P26" s="263"/>
      <c r="Q26" s="263">
        <v>247647</v>
      </c>
      <c r="R26" s="263"/>
      <c r="S26" s="176">
        <f t="shared" si="3"/>
        <v>125.04696291552943</v>
      </c>
      <c r="T26" s="176">
        <f t="shared" si="7"/>
        <v>100</v>
      </c>
      <c r="U26" s="176"/>
      <c r="V26" s="176"/>
      <c r="W26" s="176"/>
      <c r="X26" s="176"/>
      <c r="Y26" s="176">
        <f t="shared" si="4"/>
        <v>182.38842244807779</v>
      </c>
      <c r="Z26" s="176"/>
      <c r="AA26" s="197"/>
    </row>
    <row r="27" spans="1:36" s="39" customFormat="1" ht="55.5" customHeight="1">
      <c r="A27" s="177">
        <v>10</v>
      </c>
      <c r="B27" s="174" t="s">
        <v>320</v>
      </c>
      <c r="C27" s="263">
        <f t="shared" si="6"/>
        <v>565460</v>
      </c>
      <c r="D27" s="263">
        <v>446752</v>
      </c>
      <c r="E27" s="263"/>
      <c r="F27" s="263"/>
      <c r="G27" s="263"/>
      <c r="H27" s="263"/>
      <c r="I27" s="263">
        <v>118708</v>
      </c>
      <c r="J27" s="263"/>
      <c r="K27" s="263">
        <f t="shared" si="5"/>
        <v>719165</v>
      </c>
      <c r="L27" s="263">
        <v>446752</v>
      </c>
      <c r="M27" s="263"/>
      <c r="N27" s="263"/>
      <c r="O27" s="263"/>
      <c r="P27" s="263"/>
      <c r="Q27" s="263">
        <v>272413</v>
      </c>
      <c r="R27" s="263"/>
      <c r="S27" s="176">
        <f t="shared" si="3"/>
        <v>127.18229406147208</v>
      </c>
      <c r="T27" s="176">
        <f t="shared" si="7"/>
        <v>100</v>
      </c>
      <c r="U27" s="176"/>
      <c r="V27" s="176"/>
      <c r="W27" s="176"/>
      <c r="X27" s="176"/>
      <c r="Y27" s="176">
        <f t="shared" si="4"/>
        <v>229.48158506587592</v>
      </c>
      <c r="Z27" s="176"/>
      <c r="AA27" s="197"/>
    </row>
    <row r="28" spans="1:36" s="39" customFormat="1" ht="55.5" customHeight="1">
      <c r="A28" s="270">
        <v>11</v>
      </c>
      <c r="B28" s="181" t="s">
        <v>321</v>
      </c>
      <c r="C28" s="271">
        <f t="shared" si="6"/>
        <v>479161</v>
      </c>
      <c r="D28" s="271">
        <v>358437</v>
      </c>
      <c r="E28" s="271"/>
      <c r="F28" s="271"/>
      <c r="G28" s="271"/>
      <c r="H28" s="271"/>
      <c r="I28" s="271">
        <v>120724</v>
      </c>
      <c r="J28" s="271"/>
      <c r="K28" s="271">
        <f t="shared" si="5"/>
        <v>590205</v>
      </c>
      <c r="L28" s="271">
        <v>358437</v>
      </c>
      <c r="M28" s="271"/>
      <c r="N28" s="271"/>
      <c r="O28" s="271"/>
      <c r="P28" s="271"/>
      <c r="Q28" s="271">
        <v>231768</v>
      </c>
      <c r="R28" s="271"/>
      <c r="S28" s="272">
        <f t="shared" si="3"/>
        <v>123.1746740657107</v>
      </c>
      <c r="T28" s="272">
        <f t="shared" si="7"/>
        <v>100</v>
      </c>
      <c r="U28" s="272"/>
      <c r="V28" s="272"/>
      <c r="W28" s="272"/>
      <c r="X28" s="272"/>
      <c r="Y28" s="272">
        <f t="shared" si="4"/>
        <v>191.98171034756965</v>
      </c>
      <c r="Z28" s="272"/>
      <c r="AA28" s="197"/>
    </row>
    <row r="29" spans="1:36" ht="18.75">
      <c r="A29" s="151"/>
      <c r="B29" s="146"/>
      <c r="C29" s="39"/>
      <c r="D29" s="39"/>
      <c r="E29" s="39"/>
      <c r="F29" s="39"/>
      <c r="G29" s="39"/>
      <c r="H29" s="39"/>
      <c r="I29" s="39"/>
      <c r="J29" s="39"/>
      <c r="K29" s="39"/>
      <c r="L29" s="39"/>
      <c r="M29" s="39"/>
      <c r="N29" s="39"/>
      <c r="O29" s="39"/>
      <c r="P29" s="39"/>
      <c r="Q29" s="39"/>
      <c r="R29" s="39"/>
      <c r="S29" s="39"/>
      <c r="T29" s="39"/>
      <c r="U29" s="39"/>
      <c r="V29" s="39"/>
      <c r="W29" s="39"/>
      <c r="X29" s="39"/>
      <c r="Y29" s="39"/>
      <c r="Z29" s="39"/>
    </row>
    <row r="30" spans="1:36" ht="18.75">
      <c r="A30" s="151"/>
      <c r="B30" s="146"/>
      <c r="C30" s="39"/>
      <c r="D30" s="39"/>
      <c r="E30" s="39"/>
      <c r="F30" s="39"/>
      <c r="G30" s="39"/>
      <c r="H30" s="39"/>
      <c r="I30" s="39"/>
      <c r="J30" s="39"/>
      <c r="K30" s="39"/>
      <c r="L30" s="39"/>
      <c r="M30" s="39"/>
      <c r="N30" s="39"/>
      <c r="O30" s="39"/>
      <c r="P30" s="39"/>
      <c r="Q30" s="39"/>
      <c r="R30" s="39"/>
      <c r="S30" s="39"/>
      <c r="T30" s="39"/>
      <c r="U30" s="39"/>
      <c r="V30" s="39"/>
      <c r="W30" s="39"/>
      <c r="X30" s="39"/>
      <c r="Y30" s="39"/>
      <c r="Z30" s="39"/>
    </row>
    <row r="31" spans="1:36" ht="18.75">
      <c r="A31" s="151"/>
      <c r="B31" s="146"/>
      <c r="C31" s="39"/>
      <c r="D31" s="39"/>
      <c r="E31" s="39"/>
      <c r="F31" s="39"/>
      <c r="G31" s="39"/>
      <c r="H31" s="39"/>
      <c r="I31" s="39"/>
      <c r="J31" s="39"/>
      <c r="K31" s="39"/>
      <c r="L31" s="39"/>
      <c r="M31" s="39"/>
      <c r="N31" s="39"/>
      <c r="O31" s="39"/>
      <c r="P31" s="39"/>
      <c r="Q31" s="39"/>
      <c r="R31" s="39"/>
      <c r="S31" s="39"/>
      <c r="T31" s="39"/>
      <c r="U31" s="39"/>
      <c r="V31" s="39"/>
      <c r="W31" s="39"/>
      <c r="X31" s="39"/>
      <c r="Y31" s="39"/>
      <c r="Z31" s="39"/>
    </row>
    <row r="32" spans="1:36" ht="18.75">
      <c r="A32" s="151"/>
      <c r="B32" s="146"/>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6" ht="18.75">
      <c r="A33" s="151"/>
      <c r="B33" s="146"/>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ht="18.75">
      <c r="A34" s="151"/>
      <c r="B34" s="146"/>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ht="18.75">
      <c r="A35" s="151"/>
      <c r="B35" s="146"/>
      <c r="C35" s="39"/>
      <c r="D35" s="39"/>
      <c r="E35" s="39"/>
      <c r="F35" s="39"/>
      <c r="G35" s="39"/>
      <c r="H35" s="39"/>
      <c r="I35" s="39"/>
      <c r="J35" s="39"/>
      <c r="K35" s="39"/>
      <c r="L35" s="39"/>
      <c r="M35" s="39"/>
      <c r="N35" s="39"/>
      <c r="O35" s="39"/>
      <c r="P35" s="39"/>
      <c r="Q35" s="39"/>
      <c r="R35" s="39"/>
      <c r="S35" s="39"/>
      <c r="T35" s="39"/>
      <c r="U35" s="39"/>
      <c r="V35" s="39"/>
      <c r="W35" s="39"/>
      <c r="X35" s="39"/>
      <c r="Y35" s="39"/>
      <c r="Z35" s="39"/>
    </row>
    <row r="36" spans="1:26" ht="18.75">
      <c r="A36" s="151"/>
      <c r="B36" s="146"/>
      <c r="C36" s="39"/>
      <c r="D36" s="39"/>
      <c r="E36" s="39"/>
      <c r="F36" s="39"/>
      <c r="G36" s="39"/>
      <c r="H36" s="39"/>
      <c r="I36" s="39"/>
      <c r="J36" s="39"/>
      <c r="K36" s="39"/>
      <c r="L36" s="39"/>
      <c r="M36" s="39"/>
      <c r="N36" s="39"/>
      <c r="O36" s="39"/>
      <c r="P36" s="39"/>
      <c r="Q36" s="39"/>
      <c r="R36" s="39"/>
      <c r="S36" s="39"/>
      <c r="T36" s="39"/>
      <c r="U36" s="39"/>
      <c r="V36" s="39"/>
      <c r="W36" s="39"/>
      <c r="X36" s="39"/>
      <c r="Y36" s="39"/>
      <c r="Z36" s="39"/>
    </row>
    <row r="37" spans="1:26" ht="18.75">
      <c r="A37" s="151"/>
      <c r="B37" s="146"/>
      <c r="C37" s="39"/>
      <c r="D37" s="39"/>
      <c r="E37" s="39"/>
      <c r="F37" s="39"/>
      <c r="G37" s="39"/>
      <c r="H37" s="39"/>
      <c r="I37" s="39"/>
      <c r="J37" s="39"/>
      <c r="K37" s="39"/>
      <c r="L37" s="39"/>
      <c r="M37" s="39"/>
      <c r="N37" s="39"/>
      <c r="O37" s="39"/>
      <c r="P37" s="39"/>
      <c r="Q37" s="39"/>
      <c r="R37" s="39"/>
      <c r="S37" s="39"/>
      <c r="T37" s="39"/>
      <c r="U37" s="39"/>
      <c r="V37" s="39"/>
      <c r="W37" s="39"/>
      <c r="X37" s="39"/>
      <c r="Y37" s="39"/>
      <c r="Z37" s="39"/>
    </row>
    <row r="38" spans="1:26" ht="18.75">
      <c r="A38" s="151"/>
      <c r="B38" s="146"/>
      <c r="C38" s="39"/>
      <c r="D38" s="39"/>
      <c r="E38" s="39"/>
      <c r="F38" s="39"/>
      <c r="G38" s="39"/>
      <c r="H38" s="39"/>
      <c r="I38" s="39"/>
      <c r="J38" s="39"/>
      <c r="K38" s="39"/>
      <c r="L38" s="39"/>
      <c r="M38" s="39"/>
      <c r="N38" s="39"/>
      <c r="O38" s="39"/>
      <c r="P38" s="39"/>
      <c r="Q38" s="39"/>
      <c r="R38" s="39"/>
      <c r="S38" s="39"/>
      <c r="T38" s="39"/>
      <c r="U38" s="39"/>
      <c r="V38" s="39"/>
      <c r="W38" s="39"/>
      <c r="X38" s="39"/>
      <c r="Y38" s="39"/>
      <c r="Z38" s="39"/>
    </row>
    <row r="39" spans="1:26" ht="18.75">
      <c r="A39" s="151"/>
      <c r="B39" s="146"/>
      <c r="C39" s="39"/>
      <c r="D39" s="39"/>
      <c r="E39" s="39"/>
      <c r="F39" s="39"/>
      <c r="G39" s="39"/>
      <c r="H39" s="39"/>
      <c r="I39" s="39"/>
      <c r="J39" s="39"/>
      <c r="K39" s="39"/>
      <c r="L39" s="39"/>
      <c r="M39" s="39"/>
      <c r="N39" s="39"/>
      <c r="O39" s="39"/>
      <c r="P39" s="39"/>
      <c r="Q39" s="39"/>
      <c r="R39" s="39"/>
      <c r="S39" s="39"/>
      <c r="T39" s="39"/>
      <c r="U39" s="39"/>
      <c r="V39" s="39"/>
      <c r="W39" s="39"/>
      <c r="X39" s="39"/>
      <c r="Y39" s="39"/>
      <c r="Z39" s="39"/>
    </row>
    <row r="40" spans="1:26" ht="18.75">
      <c r="A40" s="151"/>
      <c r="B40" s="146"/>
      <c r="C40" s="39"/>
      <c r="D40" s="39"/>
      <c r="E40" s="39"/>
      <c r="F40" s="39"/>
      <c r="G40" s="39"/>
      <c r="H40" s="39"/>
      <c r="I40" s="39"/>
      <c r="J40" s="39"/>
      <c r="K40" s="39"/>
      <c r="L40" s="39"/>
      <c r="M40" s="39"/>
      <c r="N40" s="39"/>
      <c r="O40" s="39"/>
      <c r="P40" s="39"/>
      <c r="Q40" s="39"/>
      <c r="R40" s="39"/>
      <c r="S40" s="39"/>
      <c r="T40" s="39"/>
      <c r="U40" s="39"/>
      <c r="V40" s="39"/>
      <c r="W40" s="39"/>
      <c r="X40" s="39"/>
      <c r="Y40" s="39"/>
      <c r="Z40" s="39"/>
    </row>
    <row r="41" spans="1:26" ht="18.75">
      <c r="A41" s="151"/>
      <c r="B41" s="146"/>
      <c r="C41" s="39"/>
      <c r="D41" s="39"/>
      <c r="E41" s="39"/>
      <c r="F41" s="39"/>
      <c r="G41" s="39"/>
      <c r="H41" s="39"/>
      <c r="I41" s="39"/>
      <c r="J41" s="39"/>
      <c r="K41" s="39"/>
      <c r="L41" s="39"/>
      <c r="M41" s="39"/>
      <c r="N41" s="39"/>
      <c r="O41" s="39"/>
      <c r="P41" s="39"/>
      <c r="Q41" s="39"/>
      <c r="R41" s="39"/>
      <c r="S41" s="39"/>
      <c r="T41" s="39"/>
      <c r="U41" s="39"/>
      <c r="V41" s="39"/>
      <c r="W41" s="39"/>
      <c r="X41" s="39"/>
      <c r="Y41" s="39"/>
      <c r="Z41" s="39"/>
    </row>
    <row r="42" spans="1:26" ht="18.75">
      <c r="A42" s="151"/>
      <c r="B42" s="146"/>
      <c r="C42" s="39"/>
      <c r="D42" s="39"/>
      <c r="E42" s="39"/>
      <c r="F42" s="39"/>
      <c r="G42" s="39"/>
      <c r="H42" s="39"/>
      <c r="I42" s="39"/>
      <c r="J42" s="39"/>
      <c r="K42" s="39"/>
      <c r="L42" s="39"/>
      <c r="M42" s="39"/>
      <c r="N42" s="39"/>
      <c r="O42" s="39"/>
      <c r="P42" s="39"/>
      <c r="Q42" s="39"/>
      <c r="R42" s="39"/>
      <c r="S42" s="39"/>
      <c r="T42" s="39"/>
      <c r="U42" s="39"/>
      <c r="V42" s="39"/>
      <c r="W42" s="39"/>
      <c r="X42" s="39"/>
      <c r="Y42" s="39"/>
      <c r="Z42" s="39"/>
    </row>
    <row r="43" spans="1:26" ht="18.75">
      <c r="A43" s="151"/>
      <c r="B43" s="146"/>
      <c r="C43" s="39"/>
      <c r="D43" s="39"/>
      <c r="E43" s="39"/>
      <c r="F43" s="39"/>
      <c r="G43" s="39"/>
      <c r="H43" s="39"/>
      <c r="I43" s="39"/>
      <c r="J43" s="39"/>
      <c r="K43" s="39"/>
      <c r="L43" s="39"/>
      <c r="M43" s="39"/>
      <c r="N43" s="39"/>
      <c r="O43" s="39"/>
      <c r="P43" s="39"/>
      <c r="Q43" s="39"/>
      <c r="R43" s="39"/>
      <c r="S43" s="39"/>
      <c r="T43" s="39"/>
      <c r="U43" s="39"/>
      <c r="V43" s="39"/>
      <c r="W43" s="39"/>
      <c r="X43" s="39"/>
      <c r="Y43" s="39"/>
      <c r="Z43" s="39"/>
    </row>
    <row r="44" spans="1:26" ht="18.75">
      <c r="A44" s="151"/>
      <c r="B44" s="146"/>
      <c r="C44" s="39"/>
      <c r="D44" s="39"/>
      <c r="E44" s="39"/>
      <c r="F44" s="39"/>
      <c r="G44" s="39"/>
      <c r="H44" s="39"/>
      <c r="I44" s="39"/>
      <c r="J44" s="39"/>
      <c r="K44" s="39"/>
      <c r="L44" s="39"/>
      <c r="M44" s="39"/>
      <c r="N44" s="39"/>
      <c r="O44" s="39"/>
      <c r="P44" s="39"/>
      <c r="Q44" s="39"/>
      <c r="R44" s="39"/>
      <c r="S44" s="39"/>
      <c r="T44" s="39"/>
      <c r="U44" s="39"/>
      <c r="V44" s="39"/>
      <c r="W44" s="39"/>
      <c r="X44" s="39"/>
      <c r="Y44" s="39"/>
      <c r="Z44" s="39"/>
    </row>
    <row r="45" spans="1:26" ht="18.75">
      <c r="A45" s="151"/>
      <c r="B45" s="146"/>
      <c r="C45" s="39"/>
      <c r="D45" s="39"/>
      <c r="E45" s="39"/>
      <c r="F45" s="39"/>
      <c r="G45" s="39"/>
      <c r="H45" s="39"/>
      <c r="I45" s="39"/>
      <c r="J45" s="39"/>
      <c r="K45" s="39"/>
      <c r="L45" s="39"/>
      <c r="M45" s="39"/>
      <c r="N45" s="39"/>
      <c r="O45" s="39"/>
      <c r="P45" s="39"/>
      <c r="Q45" s="39"/>
      <c r="R45" s="39"/>
      <c r="S45" s="39"/>
      <c r="T45" s="39"/>
      <c r="U45" s="39"/>
      <c r="V45" s="39"/>
      <c r="W45" s="39"/>
      <c r="X45" s="39"/>
      <c r="Y45" s="39"/>
      <c r="Z45" s="39"/>
    </row>
    <row r="46" spans="1:26" ht="18.75">
      <c r="A46" s="151"/>
      <c r="B46" s="146"/>
      <c r="C46" s="39"/>
      <c r="D46" s="39"/>
      <c r="E46" s="39"/>
      <c r="F46" s="39"/>
      <c r="G46" s="39"/>
      <c r="H46" s="39"/>
      <c r="I46" s="39"/>
      <c r="J46" s="39"/>
      <c r="K46" s="39"/>
      <c r="L46" s="39"/>
      <c r="M46" s="39"/>
      <c r="N46" s="39"/>
      <c r="O46" s="39"/>
      <c r="P46" s="39"/>
      <c r="Q46" s="39"/>
      <c r="R46" s="39"/>
      <c r="S46" s="39"/>
      <c r="T46" s="39"/>
      <c r="U46" s="39"/>
      <c r="V46" s="39"/>
      <c r="W46" s="39"/>
      <c r="X46" s="39"/>
      <c r="Y46" s="39"/>
      <c r="Z46" s="39"/>
    </row>
    <row r="47" spans="1:26" ht="18.75">
      <c r="A47" s="151"/>
      <c r="B47" s="146"/>
      <c r="C47" s="39"/>
      <c r="D47" s="39"/>
      <c r="E47" s="39"/>
      <c r="F47" s="39"/>
      <c r="G47" s="39"/>
      <c r="H47" s="39"/>
      <c r="I47" s="39"/>
      <c r="J47" s="39"/>
      <c r="K47" s="39"/>
      <c r="L47" s="39"/>
      <c r="M47" s="39"/>
      <c r="N47" s="39"/>
      <c r="O47" s="39"/>
      <c r="P47" s="39"/>
      <c r="Q47" s="39"/>
      <c r="R47" s="39"/>
      <c r="S47" s="39"/>
      <c r="T47" s="39"/>
      <c r="U47" s="39"/>
      <c r="V47" s="39"/>
      <c r="W47" s="39"/>
      <c r="X47" s="39"/>
      <c r="Y47" s="39"/>
      <c r="Z47" s="39"/>
    </row>
    <row r="48" spans="1:26" ht="18.75">
      <c r="A48" s="151"/>
      <c r="B48" s="146"/>
      <c r="C48" s="39"/>
      <c r="D48" s="39"/>
      <c r="E48" s="39"/>
      <c r="F48" s="39"/>
      <c r="G48" s="39"/>
      <c r="H48" s="39"/>
      <c r="I48" s="39"/>
      <c r="J48" s="39"/>
      <c r="K48" s="39"/>
      <c r="L48" s="39"/>
      <c r="M48" s="39"/>
      <c r="N48" s="39"/>
      <c r="O48" s="39"/>
      <c r="P48" s="39"/>
      <c r="Q48" s="39"/>
      <c r="R48" s="39"/>
      <c r="S48" s="39"/>
      <c r="T48" s="39"/>
      <c r="U48" s="39"/>
      <c r="V48" s="39"/>
      <c r="W48" s="39"/>
      <c r="X48" s="39"/>
      <c r="Y48" s="39"/>
      <c r="Z48" s="39"/>
    </row>
    <row r="49" spans="1:26" ht="18.75">
      <c r="A49" s="151"/>
      <c r="B49" s="146"/>
      <c r="C49" s="39"/>
      <c r="D49" s="39"/>
      <c r="E49" s="39"/>
      <c r="F49" s="39"/>
      <c r="G49" s="39"/>
      <c r="H49" s="39"/>
      <c r="I49" s="39"/>
      <c r="J49" s="39"/>
      <c r="K49" s="39"/>
      <c r="L49" s="39"/>
      <c r="M49" s="39"/>
      <c r="N49" s="39"/>
      <c r="O49" s="39"/>
      <c r="P49" s="39"/>
      <c r="Q49" s="39"/>
      <c r="R49" s="39"/>
      <c r="S49" s="39"/>
      <c r="T49" s="39"/>
      <c r="U49" s="39"/>
      <c r="V49" s="39"/>
      <c r="W49" s="39"/>
      <c r="X49" s="39"/>
      <c r="Y49" s="39"/>
      <c r="Z49" s="39"/>
    </row>
    <row r="50" spans="1:26" ht="18.75">
      <c r="A50" s="151"/>
      <c r="B50" s="146"/>
      <c r="C50" s="39"/>
      <c r="D50" s="39"/>
      <c r="E50" s="39"/>
      <c r="F50" s="39"/>
      <c r="G50" s="39"/>
      <c r="H50" s="39"/>
      <c r="I50" s="39"/>
      <c r="J50" s="39"/>
      <c r="K50" s="39"/>
      <c r="L50" s="39"/>
      <c r="M50" s="39"/>
      <c r="N50" s="39"/>
      <c r="O50" s="39"/>
      <c r="P50" s="39"/>
      <c r="Q50" s="39"/>
      <c r="R50" s="39"/>
      <c r="S50" s="39"/>
      <c r="T50" s="39"/>
      <c r="U50" s="39"/>
      <c r="V50" s="39"/>
      <c r="W50" s="39"/>
      <c r="X50" s="39"/>
      <c r="Y50" s="39"/>
      <c r="Z50" s="39"/>
    </row>
    <row r="51" spans="1:26" ht="18.75">
      <c r="A51" s="151"/>
      <c r="B51" s="146"/>
      <c r="C51" s="39"/>
      <c r="D51" s="39"/>
      <c r="E51" s="39"/>
      <c r="F51" s="39"/>
      <c r="G51" s="39"/>
      <c r="H51" s="39"/>
      <c r="I51" s="39"/>
      <c r="J51" s="39"/>
      <c r="K51" s="39"/>
      <c r="L51" s="39"/>
      <c r="M51" s="39"/>
      <c r="N51" s="39"/>
      <c r="O51" s="39"/>
      <c r="P51" s="39"/>
      <c r="Q51" s="39"/>
      <c r="R51" s="39"/>
      <c r="S51" s="39"/>
      <c r="T51" s="39"/>
      <c r="U51" s="39"/>
      <c r="V51" s="39"/>
      <c r="W51" s="39"/>
      <c r="X51" s="39"/>
      <c r="Y51" s="39"/>
      <c r="Z51" s="39"/>
    </row>
    <row r="52" spans="1:26" ht="18.75">
      <c r="A52" s="151"/>
      <c r="B52" s="146"/>
      <c r="C52" s="39"/>
      <c r="D52" s="39"/>
      <c r="E52" s="39"/>
      <c r="F52" s="39"/>
      <c r="G52" s="39"/>
      <c r="H52" s="39"/>
      <c r="I52" s="39"/>
      <c r="J52" s="39"/>
      <c r="K52" s="39"/>
      <c r="L52" s="39"/>
      <c r="M52" s="39"/>
      <c r="N52" s="39"/>
      <c r="O52" s="39"/>
      <c r="P52" s="39"/>
      <c r="Q52" s="39"/>
      <c r="R52" s="39"/>
      <c r="S52" s="39"/>
      <c r="T52" s="39"/>
      <c r="U52" s="39"/>
      <c r="V52" s="39"/>
      <c r="W52" s="39"/>
      <c r="X52" s="39"/>
      <c r="Y52" s="39"/>
      <c r="Z52" s="39"/>
    </row>
    <row r="53" spans="1:26" ht="18.75">
      <c r="A53" s="151"/>
      <c r="B53" s="146"/>
      <c r="C53" s="39"/>
      <c r="D53" s="39"/>
      <c r="E53" s="39"/>
      <c r="F53" s="39"/>
      <c r="G53" s="39"/>
      <c r="H53" s="39"/>
      <c r="I53" s="39"/>
      <c r="J53" s="39"/>
      <c r="K53" s="39"/>
      <c r="L53" s="39"/>
      <c r="M53" s="39"/>
      <c r="N53" s="39"/>
      <c r="O53" s="39"/>
      <c r="P53" s="39"/>
      <c r="Q53" s="39"/>
      <c r="R53" s="39"/>
      <c r="S53" s="39"/>
      <c r="T53" s="39"/>
      <c r="U53" s="39"/>
      <c r="V53" s="39"/>
      <c r="W53" s="39"/>
      <c r="X53" s="39"/>
      <c r="Y53" s="39"/>
      <c r="Z53" s="39"/>
    </row>
    <row r="54" spans="1:26" ht="18.75">
      <c r="A54" s="151"/>
      <c r="B54" s="146"/>
      <c r="C54" s="39"/>
      <c r="D54" s="39"/>
      <c r="E54" s="39"/>
      <c r="F54" s="39"/>
      <c r="G54" s="39"/>
      <c r="H54" s="39"/>
      <c r="I54" s="39"/>
      <c r="J54" s="39"/>
      <c r="K54" s="39"/>
      <c r="L54" s="39"/>
      <c r="M54" s="39"/>
      <c r="N54" s="39"/>
      <c r="O54" s="39"/>
      <c r="P54" s="39"/>
      <c r="Q54" s="39"/>
      <c r="R54" s="39"/>
      <c r="S54" s="39"/>
      <c r="T54" s="39"/>
      <c r="U54" s="39"/>
      <c r="V54" s="39"/>
      <c r="W54" s="39"/>
      <c r="X54" s="39"/>
      <c r="Y54" s="39"/>
      <c r="Z54" s="39"/>
    </row>
    <row r="55" spans="1:26" ht="18.75">
      <c r="A55" s="151"/>
      <c r="B55" s="146"/>
      <c r="C55" s="39"/>
      <c r="D55" s="39"/>
      <c r="E55" s="39"/>
      <c r="F55" s="39"/>
      <c r="G55" s="39"/>
      <c r="H55" s="39"/>
      <c r="I55" s="39"/>
      <c r="J55" s="39"/>
      <c r="K55" s="39"/>
      <c r="L55" s="39"/>
      <c r="M55" s="39"/>
      <c r="N55" s="39"/>
      <c r="O55" s="39"/>
      <c r="P55" s="39"/>
      <c r="Q55" s="39"/>
      <c r="R55" s="39"/>
      <c r="S55" s="39"/>
      <c r="T55" s="39"/>
      <c r="U55" s="39"/>
      <c r="V55" s="39"/>
      <c r="W55" s="39"/>
      <c r="X55" s="39"/>
      <c r="Y55" s="39"/>
      <c r="Z55" s="39"/>
    </row>
    <row r="56" spans="1:26" ht="18.75">
      <c r="A56" s="151"/>
      <c r="B56" s="146"/>
      <c r="C56" s="39"/>
      <c r="D56" s="39"/>
      <c r="E56" s="39"/>
      <c r="F56" s="39"/>
      <c r="G56" s="39"/>
      <c r="H56" s="39"/>
      <c r="I56" s="39"/>
      <c r="J56" s="39"/>
      <c r="K56" s="39"/>
      <c r="L56" s="39"/>
      <c r="M56" s="39"/>
      <c r="N56" s="39"/>
      <c r="O56" s="39"/>
      <c r="P56" s="39"/>
      <c r="Q56" s="39"/>
      <c r="R56" s="39"/>
      <c r="S56" s="39"/>
      <c r="T56" s="39"/>
      <c r="U56" s="39"/>
      <c r="V56" s="39"/>
      <c r="W56" s="39"/>
      <c r="X56" s="39"/>
      <c r="Y56" s="39"/>
      <c r="Z56" s="39"/>
    </row>
    <row r="57" spans="1:26" ht="18.75">
      <c r="A57" s="151"/>
      <c r="B57" s="146"/>
      <c r="C57" s="39"/>
      <c r="D57" s="39"/>
      <c r="E57" s="39"/>
      <c r="F57" s="39"/>
      <c r="G57" s="39"/>
      <c r="H57" s="39"/>
      <c r="I57" s="39"/>
      <c r="J57" s="39"/>
      <c r="K57" s="39"/>
      <c r="L57" s="39"/>
      <c r="M57" s="39"/>
      <c r="N57" s="39"/>
      <c r="O57" s="39"/>
      <c r="P57" s="39"/>
      <c r="Q57" s="39"/>
      <c r="R57" s="39"/>
      <c r="S57" s="39"/>
      <c r="T57" s="39"/>
      <c r="U57" s="39"/>
      <c r="V57" s="39"/>
      <c r="W57" s="39"/>
      <c r="X57" s="39"/>
      <c r="Y57" s="39"/>
      <c r="Z57" s="39"/>
    </row>
    <row r="58" spans="1:26" ht="18.75">
      <c r="A58" s="151"/>
      <c r="B58" s="146"/>
      <c r="C58" s="39"/>
      <c r="D58" s="39"/>
      <c r="E58" s="39"/>
      <c r="F58" s="39"/>
      <c r="G58" s="39"/>
      <c r="H58" s="39"/>
      <c r="I58" s="39"/>
      <c r="J58" s="39"/>
      <c r="K58" s="39"/>
      <c r="L58" s="39"/>
      <c r="M58" s="39"/>
      <c r="N58" s="39"/>
      <c r="O58" s="39"/>
      <c r="P58" s="39"/>
      <c r="Q58" s="39"/>
      <c r="R58" s="39"/>
      <c r="S58" s="39"/>
      <c r="T58" s="39"/>
      <c r="U58" s="39"/>
      <c r="V58" s="39"/>
      <c r="W58" s="39"/>
      <c r="X58" s="39"/>
      <c r="Y58" s="39"/>
      <c r="Z58" s="39"/>
    </row>
    <row r="59" spans="1:26" ht="18.75">
      <c r="A59" s="151"/>
      <c r="B59" s="146"/>
      <c r="C59" s="39"/>
      <c r="D59" s="39"/>
      <c r="E59" s="39"/>
      <c r="F59" s="39"/>
      <c r="G59" s="39"/>
      <c r="H59" s="39"/>
      <c r="I59" s="39"/>
      <c r="J59" s="39"/>
      <c r="K59" s="39"/>
      <c r="L59" s="39"/>
      <c r="M59" s="39"/>
      <c r="N59" s="39"/>
      <c r="O59" s="39"/>
      <c r="P59" s="39"/>
      <c r="Q59" s="39"/>
      <c r="R59" s="39"/>
      <c r="S59" s="39"/>
      <c r="T59" s="39"/>
      <c r="U59" s="39"/>
      <c r="V59" s="39"/>
      <c r="W59" s="39"/>
      <c r="X59" s="39"/>
      <c r="Y59" s="39"/>
      <c r="Z59" s="39"/>
    </row>
    <row r="60" spans="1:26" ht="18.75">
      <c r="A60" s="151"/>
      <c r="B60" s="146"/>
      <c r="C60" s="39"/>
      <c r="D60" s="39"/>
      <c r="E60" s="39"/>
      <c r="F60" s="39"/>
      <c r="G60" s="39"/>
      <c r="H60" s="39"/>
      <c r="I60" s="39"/>
      <c r="J60" s="39"/>
      <c r="K60" s="39"/>
      <c r="L60" s="39"/>
      <c r="M60" s="39"/>
      <c r="N60" s="39"/>
      <c r="O60" s="39"/>
      <c r="P60" s="39"/>
      <c r="Q60" s="39"/>
      <c r="R60" s="39"/>
      <c r="S60" s="39"/>
      <c r="T60" s="39"/>
      <c r="U60" s="39"/>
      <c r="V60" s="39"/>
      <c r="W60" s="39"/>
      <c r="X60" s="39"/>
      <c r="Y60" s="39"/>
      <c r="Z60" s="39"/>
    </row>
    <row r="61" spans="1:26" ht="18.75">
      <c r="A61" s="151"/>
      <c r="B61" s="146"/>
      <c r="C61" s="39"/>
      <c r="D61" s="39"/>
      <c r="E61" s="39"/>
      <c r="F61" s="39"/>
      <c r="G61" s="39"/>
      <c r="H61" s="39"/>
      <c r="I61" s="39"/>
      <c r="J61" s="39"/>
      <c r="K61" s="39"/>
      <c r="L61" s="39"/>
      <c r="M61" s="39"/>
      <c r="N61" s="39"/>
      <c r="O61" s="39"/>
      <c r="P61" s="39"/>
      <c r="Q61" s="39"/>
      <c r="R61" s="39"/>
      <c r="S61" s="39"/>
      <c r="T61" s="39"/>
      <c r="U61" s="39"/>
      <c r="V61" s="39"/>
      <c r="W61" s="39"/>
      <c r="X61" s="39"/>
      <c r="Y61" s="39"/>
      <c r="Z61" s="39"/>
    </row>
    <row r="62" spans="1:26" ht="18.75">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row>
    <row r="63" spans="1:26" ht="18.75">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row>
    <row r="64" spans="1:26" ht="18.75">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row>
    <row r="65" spans="1:26" ht="18.75">
      <c r="A65" s="39"/>
      <c r="B65" s="39"/>
      <c r="C65" s="327"/>
      <c r="D65" s="39"/>
      <c r="E65" s="39"/>
      <c r="F65" s="39"/>
      <c r="G65" s="39"/>
      <c r="H65" s="39"/>
      <c r="I65" s="39"/>
      <c r="J65" s="39"/>
      <c r="K65" s="39"/>
      <c r="L65" s="39"/>
      <c r="M65" s="39"/>
      <c r="N65" s="39"/>
      <c r="O65" s="39"/>
      <c r="P65" s="39"/>
      <c r="Q65" s="39"/>
      <c r="R65" s="39"/>
      <c r="S65" s="39"/>
      <c r="T65" s="39"/>
      <c r="U65" s="39"/>
      <c r="V65" s="39"/>
      <c r="W65" s="39"/>
      <c r="X65" s="39"/>
      <c r="Y65" s="39"/>
      <c r="Z65" s="39"/>
    </row>
    <row r="66" spans="1:26" ht="18.75">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row>
    <row r="67" spans="1:26" ht="18.75">
      <c r="A67" s="39"/>
      <c r="B67" s="39"/>
      <c r="C67" s="444" t="s">
        <v>521</v>
      </c>
      <c r="D67" s="444" t="s">
        <v>522</v>
      </c>
      <c r="E67" s="39"/>
      <c r="F67" s="39"/>
      <c r="G67" s="39"/>
      <c r="H67" s="39"/>
      <c r="I67" s="39"/>
      <c r="J67" s="39"/>
      <c r="K67" s="327">
        <f>SUM(K69:K79)</f>
        <v>5224505</v>
      </c>
      <c r="L67" s="39"/>
      <c r="M67" s="39"/>
      <c r="N67" s="39"/>
      <c r="O67" s="39"/>
      <c r="P67" s="39"/>
      <c r="Q67" s="39"/>
      <c r="R67" s="39"/>
      <c r="S67" s="39"/>
      <c r="T67" s="39"/>
      <c r="U67" s="39"/>
      <c r="V67" s="39"/>
      <c r="W67" s="39"/>
      <c r="X67" s="39"/>
      <c r="Y67" s="39"/>
      <c r="Z67" s="39"/>
    </row>
    <row r="68" spans="1:26" ht="18.75">
      <c r="A68" s="39"/>
      <c r="B68" s="39"/>
      <c r="C68" s="197">
        <f>SUM(C69:C79)</f>
        <v>3082130</v>
      </c>
      <c r="D68" s="197">
        <f>SUM(D69:D79)</f>
        <v>2142375</v>
      </c>
      <c r="E68" s="39"/>
      <c r="F68" s="39"/>
      <c r="G68" s="39"/>
      <c r="H68" s="39"/>
      <c r="I68" s="39"/>
      <c r="J68" s="39"/>
      <c r="K68" s="39"/>
      <c r="L68" s="39"/>
      <c r="M68" s="39"/>
      <c r="N68" s="39"/>
      <c r="O68" s="39"/>
      <c r="P68" s="39"/>
      <c r="Q68" s="39"/>
      <c r="R68" s="39"/>
      <c r="S68" s="39"/>
      <c r="T68" s="39"/>
      <c r="U68" s="39"/>
      <c r="V68" s="39"/>
      <c r="W68" s="39"/>
      <c r="X68" s="39"/>
      <c r="Y68" s="39"/>
      <c r="Z68" s="39"/>
    </row>
    <row r="69" spans="1:26" ht="18.75">
      <c r="A69" s="274">
        <v>1</v>
      </c>
      <c r="B69" s="275" t="s">
        <v>311</v>
      </c>
      <c r="C69" s="38">
        <v>0</v>
      </c>
      <c r="D69" s="38">
        <v>112123</v>
      </c>
      <c r="E69" s="39"/>
      <c r="F69" s="39"/>
      <c r="G69" s="39"/>
      <c r="H69" s="39"/>
      <c r="I69" s="39"/>
      <c r="J69" s="39"/>
      <c r="K69" s="327">
        <f>C69+D69</f>
        <v>112123</v>
      </c>
      <c r="L69" s="39"/>
      <c r="M69" s="39"/>
      <c r="N69" s="39"/>
      <c r="O69" s="39"/>
      <c r="P69" s="39"/>
      <c r="Q69" s="39"/>
      <c r="R69" s="39"/>
      <c r="S69" s="39"/>
      <c r="T69" s="39"/>
      <c r="U69" s="39"/>
      <c r="V69" s="39"/>
      <c r="W69" s="39"/>
      <c r="X69" s="39"/>
      <c r="Y69" s="39"/>
      <c r="Z69" s="39"/>
    </row>
    <row r="70" spans="1:26" ht="18.75">
      <c r="A70" s="177">
        <v>2</v>
      </c>
      <c r="B70" s="269" t="s">
        <v>312</v>
      </c>
      <c r="C70" s="197">
        <v>88190</v>
      </c>
      <c r="D70" s="197">
        <v>138389</v>
      </c>
      <c r="E70" s="39"/>
      <c r="F70" s="39"/>
      <c r="G70" s="39"/>
      <c r="H70" s="39"/>
      <c r="I70" s="39"/>
      <c r="J70" s="39"/>
      <c r="K70" s="327">
        <f t="shared" ref="K70:K79" si="10">C70+D70</f>
        <v>226579</v>
      </c>
      <c r="L70" s="39"/>
      <c r="M70" s="39"/>
      <c r="N70" s="39"/>
      <c r="O70" s="39"/>
      <c r="P70" s="39"/>
      <c r="Q70" s="39"/>
      <c r="R70" s="39"/>
      <c r="S70" s="39"/>
      <c r="T70" s="39"/>
      <c r="U70" s="39"/>
      <c r="V70" s="39"/>
      <c r="W70" s="39"/>
      <c r="X70" s="39"/>
      <c r="Y70" s="39"/>
      <c r="Z70" s="39"/>
    </row>
    <row r="71" spans="1:26" ht="22.5" customHeight="1">
      <c r="A71" s="177">
        <v>3</v>
      </c>
      <c r="B71" s="269" t="s">
        <v>313</v>
      </c>
      <c r="C71" s="197">
        <v>146986</v>
      </c>
      <c r="D71" s="197">
        <v>116624</v>
      </c>
      <c r="E71" s="39"/>
      <c r="F71" s="39"/>
      <c r="G71" s="39"/>
      <c r="H71" s="39"/>
      <c r="I71" s="39"/>
      <c r="J71" s="39"/>
      <c r="K71" s="327">
        <f t="shared" si="10"/>
        <v>263610</v>
      </c>
      <c r="L71" s="39"/>
      <c r="M71" s="39"/>
      <c r="N71" s="39"/>
      <c r="O71" s="39"/>
      <c r="P71" s="39"/>
      <c r="Q71" s="39"/>
      <c r="R71" s="39"/>
      <c r="S71" s="39"/>
      <c r="T71" s="39"/>
      <c r="U71" s="39"/>
      <c r="V71" s="39"/>
      <c r="W71" s="39"/>
      <c r="X71" s="39"/>
      <c r="Y71" s="39"/>
      <c r="Z71" s="39"/>
    </row>
    <row r="72" spans="1:26" ht="18.75">
      <c r="A72" s="177">
        <v>4</v>
      </c>
      <c r="B72" s="269" t="s">
        <v>314</v>
      </c>
      <c r="C72" s="197">
        <v>274098</v>
      </c>
      <c r="D72" s="197">
        <v>92889</v>
      </c>
      <c r="E72" s="39"/>
      <c r="F72" s="39"/>
      <c r="G72" s="39"/>
      <c r="H72" s="39"/>
      <c r="I72" s="39"/>
      <c r="J72" s="39"/>
      <c r="K72" s="327">
        <f t="shared" si="10"/>
        <v>366987</v>
      </c>
      <c r="L72" s="39"/>
      <c r="M72" s="39"/>
      <c r="N72" s="39"/>
      <c r="O72" s="39"/>
      <c r="P72" s="39"/>
      <c r="Q72" s="39"/>
      <c r="R72" s="39"/>
      <c r="S72" s="39"/>
      <c r="T72" s="39"/>
      <c r="U72" s="39"/>
      <c r="V72" s="39"/>
      <c r="W72" s="39"/>
      <c r="X72" s="39"/>
      <c r="Y72" s="39"/>
      <c r="Z72" s="39"/>
    </row>
    <row r="73" spans="1:26" ht="18.75">
      <c r="A73" s="177">
        <v>5</v>
      </c>
      <c r="B73" s="174" t="s">
        <v>317</v>
      </c>
      <c r="C73" s="197">
        <v>502640</v>
      </c>
      <c r="D73" s="197">
        <v>381591</v>
      </c>
      <c r="E73" s="39"/>
      <c r="F73" s="39"/>
      <c r="G73" s="39"/>
      <c r="H73" s="39"/>
      <c r="I73" s="39"/>
      <c r="J73" s="39"/>
      <c r="K73" s="327">
        <f t="shared" si="10"/>
        <v>884231</v>
      </c>
      <c r="L73" s="39"/>
      <c r="M73" s="39"/>
      <c r="N73" s="39"/>
      <c r="O73" s="39"/>
      <c r="P73" s="39"/>
      <c r="Q73" s="39"/>
      <c r="R73" s="39"/>
      <c r="S73" s="39"/>
      <c r="T73" s="39"/>
      <c r="U73" s="39"/>
      <c r="V73" s="39"/>
      <c r="W73" s="39"/>
      <c r="X73" s="39"/>
      <c r="Y73" s="39"/>
      <c r="Z73" s="39"/>
    </row>
    <row r="74" spans="1:26" ht="18.75">
      <c r="A74" s="177">
        <v>6</v>
      </c>
      <c r="B74" s="174" t="s">
        <v>318</v>
      </c>
      <c r="C74" s="197">
        <v>291013</v>
      </c>
      <c r="D74" s="197">
        <v>173522</v>
      </c>
      <c r="E74" s="39"/>
      <c r="F74" s="39"/>
      <c r="G74" s="39"/>
      <c r="H74" s="39"/>
      <c r="I74" s="39"/>
      <c r="J74" s="39"/>
      <c r="K74" s="327">
        <f t="shared" si="10"/>
        <v>464535</v>
      </c>
      <c r="L74" s="39"/>
      <c r="M74" s="39"/>
      <c r="N74" s="39"/>
      <c r="O74" s="39"/>
      <c r="P74" s="39"/>
      <c r="Q74" s="39"/>
      <c r="R74" s="39"/>
      <c r="S74" s="39"/>
      <c r="T74" s="39"/>
      <c r="U74" s="39"/>
      <c r="V74" s="39"/>
      <c r="W74" s="39"/>
      <c r="X74" s="39"/>
      <c r="Y74" s="39"/>
      <c r="Z74" s="39"/>
    </row>
    <row r="75" spans="1:26" ht="18.75">
      <c r="A75" s="177">
        <v>7</v>
      </c>
      <c r="B75" s="174" t="s">
        <v>319</v>
      </c>
      <c r="C75" s="197">
        <v>606206</v>
      </c>
      <c r="D75" s="197">
        <v>301866</v>
      </c>
      <c r="E75" s="39"/>
      <c r="F75" s="39"/>
      <c r="G75" s="39"/>
      <c r="H75" s="39"/>
      <c r="I75" s="39"/>
      <c r="J75" s="39"/>
      <c r="K75" s="327">
        <f t="shared" si="10"/>
        <v>908072</v>
      </c>
      <c r="L75" s="39"/>
      <c r="M75" s="39"/>
      <c r="N75" s="39"/>
      <c r="O75" s="39"/>
      <c r="P75" s="39"/>
      <c r="Q75" s="39"/>
      <c r="R75" s="39"/>
      <c r="S75" s="39"/>
      <c r="T75" s="39"/>
      <c r="U75" s="39"/>
      <c r="V75" s="39"/>
      <c r="W75" s="39"/>
      <c r="X75" s="39"/>
      <c r="Y75" s="39"/>
      <c r="Z75" s="39"/>
    </row>
    <row r="76" spans="1:26" ht="18.75">
      <c r="A76" s="177">
        <v>8</v>
      </c>
      <c r="B76" s="269" t="s">
        <v>315</v>
      </c>
      <c r="C76" s="16">
        <v>56959</v>
      </c>
      <c r="D76" s="16">
        <v>73543</v>
      </c>
      <c r="K76" s="327">
        <f t="shared" si="10"/>
        <v>130502</v>
      </c>
    </row>
    <row r="77" spans="1:26" ht="18.75">
      <c r="A77" s="177">
        <v>9</v>
      </c>
      <c r="B77" s="174" t="s">
        <v>316</v>
      </c>
      <c r="C77" s="16">
        <v>310849</v>
      </c>
      <c r="D77" s="16">
        <v>247647</v>
      </c>
      <c r="K77" s="327">
        <f t="shared" si="10"/>
        <v>558496</v>
      </c>
    </row>
    <row r="78" spans="1:26" ht="18.75">
      <c r="A78" s="177">
        <v>10</v>
      </c>
      <c r="B78" s="174" t="s">
        <v>320</v>
      </c>
      <c r="C78" s="16">
        <v>446752</v>
      </c>
      <c r="D78" s="16">
        <v>272413</v>
      </c>
      <c r="K78" s="327">
        <f t="shared" si="10"/>
        <v>719165</v>
      </c>
    </row>
    <row r="79" spans="1:26" ht="18.75">
      <c r="A79" s="270">
        <v>11</v>
      </c>
      <c r="B79" s="181" t="s">
        <v>321</v>
      </c>
      <c r="C79" s="16">
        <v>358437</v>
      </c>
      <c r="D79" s="16">
        <v>231768</v>
      </c>
      <c r="K79" s="327">
        <f t="shared" si="10"/>
        <v>590205</v>
      </c>
    </row>
  </sheetData>
  <mergeCells count="44">
    <mergeCell ref="U1:Z1"/>
    <mergeCell ref="U2:Z2"/>
    <mergeCell ref="A17:B17"/>
    <mergeCell ref="A3:Z3"/>
    <mergeCell ref="A4:Z5"/>
    <mergeCell ref="E7:J7"/>
    <mergeCell ref="M7:R7"/>
    <mergeCell ref="A8:A15"/>
    <mergeCell ref="B8:B15"/>
    <mergeCell ref="C8:J8"/>
    <mergeCell ref="K8:R8"/>
    <mergeCell ref="S8:Z8"/>
    <mergeCell ref="C9:C15"/>
    <mergeCell ref="D9:D15"/>
    <mergeCell ref="E9:J9"/>
    <mergeCell ref="E10:E15"/>
    <mergeCell ref="F10:G10"/>
    <mergeCell ref="H10:H15"/>
    <mergeCell ref="I10:I15"/>
    <mergeCell ref="J10:J15"/>
    <mergeCell ref="F11:F15"/>
    <mergeCell ref="G11:G15"/>
    <mergeCell ref="Q10:Q15"/>
    <mergeCell ref="R10:R15"/>
    <mergeCell ref="N11:N15"/>
    <mergeCell ref="O11:O15"/>
    <mergeCell ref="K9:K15"/>
    <mergeCell ref="L9:L15"/>
    <mergeCell ref="A1:C1"/>
    <mergeCell ref="X7:Z7"/>
    <mergeCell ref="U10:U15"/>
    <mergeCell ref="V10:W10"/>
    <mergeCell ref="X10:X15"/>
    <mergeCell ref="Y10:Y15"/>
    <mergeCell ref="Z10:Z15"/>
    <mergeCell ref="V11:V15"/>
    <mergeCell ref="T9:T15"/>
    <mergeCell ref="U9:Z9"/>
    <mergeCell ref="M10:M15"/>
    <mergeCell ref="N10:O10"/>
    <mergeCell ref="P10:P15"/>
    <mergeCell ref="S9:S15"/>
    <mergeCell ref="W11:W15"/>
    <mergeCell ref="M9:R9"/>
  </mergeCells>
  <printOptions horizontalCentered="1"/>
  <pageMargins left="0.31" right="0.23" top="0.7" bottom="0.42" header="0.48" footer="0.17"/>
  <pageSetup paperSize="9" scale="45" fitToHeight="5" orientation="landscape" r:id="rId1"/>
  <headerFooter alignWithMargins="0">
    <oddFooter xml:space="preserve">&amp;C&amp;".VnTime,Italic"&amp;8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6"/>
  <sheetViews>
    <sheetView zoomScale="55" zoomScaleNormal="55" workbookViewId="0">
      <selection activeCell="A5" sqref="A5"/>
    </sheetView>
  </sheetViews>
  <sheetFormatPr defaultRowHeight="15.75"/>
  <cols>
    <col min="1" max="1" width="5" style="18" customWidth="1"/>
    <col min="2" max="2" width="23.125" style="18" bestFit="1" customWidth="1"/>
    <col min="3" max="3" width="13" style="18" customWidth="1"/>
    <col min="4" max="4" width="13.25" style="441" customWidth="1"/>
    <col min="5" max="5" width="13.75" style="441" customWidth="1"/>
    <col min="6" max="6" width="13.75" style="18" customWidth="1"/>
    <col min="7" max="8" width="13.75" style="441" customWidth="1"/>
    <col min="9" max="11" width="6.875" style="441" customWidth="1"/>
    <col min="12" max="12" width="14.25" style="18" customWidth="1"/>
    <col min="13" max="13" width="12.75" style="441" customWidth="1"/>
    <col min="14" max="14" width="11" style="441" customWidth="1"/>
    <col min="15" max="15" width="9.875" style="441" customWidth="1"/>
    <col min="16" max="16" width="13.25" style="18" customWidth="1"/>
    <col min="17" max="17" width="13.375" style="18" customWidth="1"/>
    <col min="18" max="18" width="9.125" style="18" customWidth="1"/>
    <col min="19" max="21" width="6.875" style="441" customWidth="1"/>
    <col min="22" max="22" width="9.5" style="441" customWidth="1"/>
    <col min="23" max="23" width="12.75" style="441" customWidth="1"/>
    <col min="24" max="24" width="8.25" style="18" customWidth="1"/>
    <col min="25" max="25" width="8.625" style="18" customWidth="1"/>
    <col min="26" max="26" width="8.875" style="18" customWidth="1"/>
    <col min="27" max="27" width="11.5" style="18" customWidth="1"/>
    <col min="28" max="29" width="9" style="18"/>
    <col min="30" max="30" width="13" style="18" bestFit="1" customWidth="1"/>
    <col min="31" max="16384" width="9" style="18"/>
  </cols>
  <sheetData>
    <row r="1" spans="1:30" ht="21" customHeight="1">
      <c r="A1" s="844" t="str">
        <f>'PL5941'!A1:C1</f>
        <v>HỘI NHÂN DÂN TỈNH BÌNH PHƯỚC</v>
      </c>
      <c r="B1" s="844"/>
      <c r="C1" s="844"/>
      <c r="D1" s="844"/>
      <c r="E1" s="17"/>
      <c r="F1" s="17"/>
      <c r="G1" s="17"/>
      <c r="H1" s="17"/>
      <c r="I1" s="17"/>
      <c r="J1" s="383"/>
      <c r="K1" s="383"/>
      <c r="L1" s="383"/>
      <c r="M1" s="383"/>
      <c r="N1" s="383"/>
      <c r="O1" s="384"/>
      <c r="P1" s="383"/>
      <c r="Q1" s="383"/>
      <c r="R1" s="384"/>
      <c r="S1" s="384"/>
      <c r="T1" s="384"/>
      <c r="U1" s="461"/>
      <c r="V1" s="461"/>
      <c r="W1" s="461"/>
      <c r="X1" s="850" t="s">
        <v>272</v>
      </c>
      <c r="Y1" s="850"/>
      <c r="Z1" s="850"/>
      <c r="AA1" s="850"/>
    </row>
    <row r="2" spans="1:30" ht="42.75" customHeight="1">
      <c r="A2" s="385"/>
      <c r="B2" s="385"/>
      <c r="C2" s="383"/>
      <c r="D2" s="383"/>
      <c r="E2" s="383"/>
      <c r="F2" s="383"/>
      <c r="G2" s="383"/>
      <c r="H2" s="383"/>
      <c r="I2" s="383"/>
      <c r="J2" s="383"/>
      <c r="K2" s="383"/>
      <c r="L2" s="383"/>
      <c r="M2" s="383"/>
      <c r="N2" s="383"/>
      <c r="O2" s="383"/>
      <c r="P2" s="383"/>
      <c r="Q2" s="383"/>
      <c r="R2" s="383"/>
      <c r="S2" s="383"/>
      <c r="T2" s="383"/>
      <c r="U2" s="383"/>
      <c r="V2" s="383"/>
      <c r="W2" s="851" t="s">
        <v>340</v>
      </c>
      <c r="X2" s="851"/>
      <c r="Y2" s="851"/>
      <c r="Z2" s="851"/>
      <c r="AA2" s="851"/>
    </row>
    <row r="3" spans="1:30" ht="28.5" customHeight="1">
      <c r="A3" s="850" t="s">
        <v>518</v>
      </c>
      <c r="B3" s="850"/>
      <c r="C3" s="850"/>
      <c r="D3" s="850"/>
      <c r="E3" s="850"/>
      <c r="F3" s="850"/>
      <c r="G3" s="850"/>
      <c r="H3" s="850"/>
      <c r="I3" s="850"/>
      <c r="J3" s="850"/>
      <c r="K3" s="850"/>
      <c r="L3" s="850"/>
      <c r="M3" s="850"/>
      <c r="N3" s="850"/>
      <c r="O3" s="850"/>
      <c r="P3" s="850"/>
      <c r="Q3" s="850"/>
      <c r="R3" s="850"/>
      <c r="S3" s="850"/>
      <c r="T3" s="850"/>
      <c r="U3" s="850"/>
      <c r="V3" s="850"/>
      <c r="W3" s="850"/>
      <c r="X3" s="850"/>
      <c r="Y3" s="850"/>
      <c r="Z3" s="850"/>
      <c r="AA3" s="850"/>
    </row>
    <row r="4" spans="1:30" ht="28.5" customHeight="1">
      <c r="A4" s="735" t="str">
        <f>'PL5941'!A4:Z5</f>
        <v>(Kèm theo Nghị quyết số:         /NQ-HĐND ngày      tháng  12  năm 2023 của Hội đồng nhân dân tỉnh)</v>
      </c>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row>
    <row r="5" spans="1:30" ht="19.5" customHeight="1">
      <c r="A5" s="386"/>
      <c r="B5" s="386"/>
      <c r="C5" s="20"/>
      <c r="D5" s="20"/>
      <c r="E5" s="20"/>
      <c r="F5" s="20"/>
      <c r="G5" s="20"/>
      <c r="H5" s="20"/>
      <c r="I5" s="20"/>
      <c r="J5" s="20"/>
      <c r="K5" s="20"/>
      <c r="L5" s="20"/>
      <c r="M5" s="20"/>
      <c r="N5" s="20"/>
      <c r="O5" s="460"/>
      <c r="P5" s="20"/>
      <c r="Q5" s="853">
        <f>M11+P11+V11</f>
        <v>8987837.1999999993</v>
      </c>
      <c r="R5" s="854"/>
      <c r="S5" s="855" t="s">
        <v>209</v>
      </c>
      <c r="T5" s="855"/>
      <c r="U5" s="855"/>
      <c r="V5" s="855"/>
      <c r="W5" s="855"/>
      <c r="X5" s="855"/>
      <c r="Y5" s="855"/>
      <c r="Z5" s="855"/>
      <c r="AA5" s="855"/>
    </row>
    <row r="6" spans="1:30" s="84" customFormat="1" ht="33" customHeight="1">
      <c r="A6" s="845" t="s">
        <v>18</v>
      </c>
      <c r="B6" s="845" t="s">
        <v>270</v>
      </c>
      <c r="C6" s="845" t="s">
        <v>237</v>
      </c>
      <c r="D6" s="845"/>
      <c r="E6" s="845"/>
      <c r="F6" s="845"/>
      <c r="G6" s="845"/>
      <c r="H6" s="845"/>
      <c r="I6" s="845"/>
      <c r="J6" s="845"/>
      <c r="K6" s="845"/>
      <c r="L6" s="845" t="s">
        <v>238</v>
      </c>
      <c r="M6" s="845"/>
      <c r="N6" s="845"/>
      <c r="O6" s="845"/>
      <c r="P6" s="845"/>
      <c r="Q6" s="845"/>
      <c r="R6" s="845"/>
      <c r="S6" s="845"/>
      <c r="T6" s="845"/>
      <c r="U6" s="845"/>
      <c r="V6" s="845"/>
      <c r="W6" s="845"/>
      <c r="X6" s="845" t="s">
        <v>239</v>
      </c>
      <c r="Y6" s="845"/>
      <c r="Z6" s="845"/>
      <c r="AA6" s="845"/>
    </row>
    <row r="7" spans="1:30" s="84" customFormat="1" ht="29.25" customHeight="1">
      <c r="A7" s="845"/>
      <c r="B7" s="845"/>
      <c r="C7" s="848" t="s">
        <v>144</v>
      </c>
      <c r="D7" s="848" t="s">
        <v>529</v>
      </c>
      <c r="E7" s="848" t="s">
        <v>154</v>
      </c>
      <c r="F7" s="848" t="s">
        <v>526</v>
      </c>
      <c r="G7" s="848" t="s">
        <v>527</v>
      </c>
      <c r="H7" s="848" t="s">
        <v>528</v>
      </c>
      <c r="I7" s="848" t="s">
        <v>273</v>
      </c>
      <c r="J7" s="848"/>
      <c r="K7" s="848"/>
      <c r="L7" s="848" t="s">
        <v>144</v>
      </c>
      <c r="M7" s="848" t="s">
        <v>167</v>
      </c>
      <c r="N7" s="848"/>
      <c r="O7" s="848"/>
      <c r="P7" s="848" t="s">
        <v>154</v>
      </c>
      <c r="Q7" s="848"/>
      <c r="R7" s="848"/>
      <c r="S7" s="848" t="s">
        <v>273</v>
      </c>
      <c r="T7" s="848"/>
      <c r="U7" s="848"/>
      <c r="V7" s="846" t="s">
        <v>135</v>
      </c>
      <c r="W7" s="846" t="s">
        <v>143</v>
      </c>
      <c r="X7" s="848" t="s">
        <v>144</v>
      </c>
      <c r="Y7" s="848" t="s">
        <v>167</v>
      </c>
      <c r="Z7" s="848" t="s">
        <v>154</v>
      </c>
      <c r="AA7" s="852" t="s">
        <v>324</v>
      </c>
    </row>
    <row r="8" spans="1:30" s="84" customFormat="1" ht="29.25" customHeight="1">
      <c r="A8" s="845"/>
      <c r="B8" s="845"/>
      <c r="C8" s="848"/>
      <c r="D8" s="848"/>
      <c r="E8" s="848"/>
      <c r="F8" s="848"/>
      <c r="G8" s="848"/>
      <c r="H8" s="848"/>
      <c r="I8" s="848" t="s">
        <v>144</v>
      </c>
      <c r="J8" s="848" t="s">
        <v>274</v>
      </c>
      <c r="K8" s="848"/>
      <c r="L8" s="848"/>
      <c r="M8" s="846" t="s">
        <v>159</v>
      </c>
      <c r="N8" s="848" t="s">
        <v>274</v>
      </c>
      <c r="O8" s="848"/>
      <c r="P8" s="846" t="s">
        <v>159</v>
      </c>
      <c r="Q8" s="848" t="s">
        <v>274</v>
      </c>
      <c r="R8" s="848"/>
      <c r="S8" s="848" t="s">
        <v>159</v>
      </c>
      <c r="T8" s="848" t="s">
        <v>274</v>
      </c>
      <c r="U8" s="848"/>
      <c r="V8" s="849"/>
      <c r="W8" s="849"/>
      <c r="X8" s="848"/>
      <c r="Y8" s="848"/>
      <c r="Z8" s="848"/>
      <c r="AA8" s="852"/>
    </row>
    <row r="9" spans="1:30" s="84" customFormat="1" ht="121.5" customHeight="1">
      <c r="A9" s="845"/>
      <c r="B9" s="845"/>
      <c r="C9" s="848"/>
      <c r="D9" s="848"/>
      <c r="E9" s="848"/>
      <c r="F9" s="848"/>
      <c r="G9" s="848"/>
      <c r="H9" s="848"/>
      <c r="I9" s="848"/>
      <c r="J9" s="459" t="s">
        <v>167</v>
      </c>
      <c r="K9" s="459" t="s">
        <v>154</v>
      </c>
      <c r="L9" s="848"/>
      <c r="M9" s="847"/>
      <c r="N9" s="459" t="s">
        <v>322</v>
      </c>
      <c r="O9" s="459" t="s">
        <v>188</v>
      </c>
      <c r="P9" s="847"/>
      <c r="Q9" s="459" t="s">
        <v>322</v>
      </c>
      <c r="R9" s="459" t="s">
        <v>323</v>
      </c>
      <c r="S9" s="848"/>
      <c r="T9" s="459" t="s">
        <v>167</v>
      </c>
      <c r="U9" s="459" t="s">
        <v>154</v>
      </c>
      <c r="V9" s="847"/>
      <c r="W9" s="847"/>
      <c r="X9" s="848"/>
      <c r="Y9" s="848"/>
      <c r="Z9" s="848"/>
      <c r="AA9" s="852"/>
    </row>
    <row r="10" spans="1:30" s="387" customFormat="1" ht="27" customHeight="1">
      <c r="A10" s="311" t="s">
        <v>1</v>
      </c>
      <c r="B10" s="311" t="s">
        <v>2</v>
      </c>
      <c r="C10" s="311">
        <v>1</v>
      </c>
      <c r="D10" s="311">
        <f>C10+1</f>
        <v>2</v>
      </c>
      <c r="E10" s="311">
        <v>3</v>
      </c>
      <c r="F10" s="311">
        <f t="shared" ref="F10" si="0">E10+1</f>
        <v>4</v>
      </c>
      <c r="G10" s="311">
        <v>5</v>
      </c>
      <c r="H10" s="311">
        <f t="shared" ref="H10" si="1">G10+1</f>
        <v>6</v>
      </c>
      <c r="I10" s="311">
        <v>7</v>
      </c>
      <c r="J10" s="311">
        <f t="shared" ref="J10" si="2">I10+1</f>
        <v>8</v>
      </c>
      <c r="K10" s="311">
        <v>9</v>
      </c>
      <c r="L10" s="311">
        <v>10</v>
      </c>
      <c r="M10" s="311">
        <f>L10+1</f>
        <v>11</v>
      </c>
      <c r="N10" s="311">
        <f t="shared" ref="N10:U10" si="3">M10+1</f>
        <v>12</v>
      </c>
      <c r="O10" s="311">
        <f t="shared" si="3"/>
        <v>13</v>
      </c>
      <c r="P10" s="311">
        <f t="shared" si="3"/>
        <v>14</v>
      </c>
      <c r="Q10" s="311">
        <f t="shared" si="3"/>
        <v>15</v>
      </c>
      <c r="R10" s="311">
        <f t="shared" si="3"/>
        <v>16</v>
      </c>
      <c r="S10" s="311">
        <f t="shared" si="3"/>
        <v>17</v>
      </c>
      <c r="T10" s="311">
        <f t="shared" si="3"/>
        <v>18</v>
      </c>
      <c r="U10" s="311">
        <f t="shared" si="3"/>
        <v>19</v>
      </c>
      <c r="V10" s="311">
        <v>17</v>
      </c>
      <c r="W10" s="311">
        <f>U10+2</f>
        <v>21</v>
      </c>
      <c r="X10" s="311" t="s">
        <v>476</v>
      </c>
      <c r="Y10" s="311" t="s">
        <v>477</v>
      </c>
      <c r="Z10" s="311" t="s">
        <v>478</v>
      </c>
      <c r="AA10" s="311">
        <v>22</v>
      </c>
    </row>
    <row r="11" spans="1:30" s="20" customFormat="1" ht="39" customHeight="1">
      <c r="A11" s="845" t="s">
        <v>271</v>
      </c>
      <c r="B11" s="845"/>
      <c r="C11" s="388">
        <f>SUM(C12:C22)</f>
        <v>9222671</v>
      </c>
      <c r="D11" s="388">
        <f t="shared" ref="D11:V11" si="4">SUM(D12:D22)</f>
        <v>2892806</v>
      </c>
      <c r="E11" s="388">
        <f t="shared" si="4"/>
        <v>5731089</v>
      </c>
      <c r="F11" s="388">
        <f t="shared" si="4"/>
        <v>294514</v>
      </c>
      <c r="G11" s="388">
        <f t="shared" si="4"/>
        <v>122452</v>
      </c>
      <c r="H11" s="388">
        <f t="shared" si="4"/>
        <v>181810</v>
      </c>
      <c r="I11" s="388">
        <f t="shared" si="4"/>
        <v>0</v>
      </c>
      <c r="J11" s="388">
        <f t="shared" si="4"/>
        <v>0</v>
      </c>
      <c r="K11" s="388">
        <f t="shared" si="4"/>
        <v>0</v>
      </c>
      <c r="L11" s="388">
        <f t="shared" si="4"/>
        <v>13042087</v>
      </c>
      <c r="M11" s="388">
        <f t="shared" si="4"/>
        <v>3426975</v>
      </c>
      <c r="N11" s="388">
        <f t="shared" si="4"/>
        <v>706472</v>
      </c>
      <c r="O11" s="388">
        <f t="shared" si="4"/>
        <v>3801</v>
      </c>
      <c r="P11" s="388">
        <f t="shared" si="4"/>
        <v>5552635.2000000002</v>
      </c>
      <c r="Q11" s="388">
        <f t="shared" si="4"/>
        <v>2132852</v>
      </c>
      <c r="R11" s="388">
        <f t="shared" si="4"/>
        <v>7</v>
      </c>
      <c r="S11" s="388">
        <f t="shared" si="4"/>
        <v>0</v>
      </c>
      <c r="T11" s="388">
        <f t="shared" si="4"/>
        <v>0</v>
      </c>
      <c r="U11" s="388">
        <f t="shared" si="4"/>
        <v>0</v>
      </c>
      <c r="V11" s="388">
        <f t="shared" si="4"/>
        <v>8227</v>
      </c>
      <c r="W11" s="388">
        <f>SUM(W12:W22)</f>
        <v>4054249.8</v>
      </c>
      <c r="X11" s="389">
        <f>L11/C11*100</f>
        <v>141.41333893402464</v>
      </c>
      <c r="Y11" s="389">
        <f>M11/D11*100</f>
        <v>118.46542768509192</v>
      </c>
      <c r="Z11" s="389">
        <f>P11/E11*100</f>
        <v>96.886214818859045</v>
      </c>
      <c r="AA11" s="389"/>
      <c r="AD11" s="37"/>
    </row>
    <row r="12" spans="1:30" s="451" customFormat="1" ht="48.75" customHeight="1">
      <c r="A12" s="453">
        <v>1</v>
      </c>
      <c r="B12" s="454" t="s">
        <v>311</v>
      </c>
      <c r="C12" s="455">
        <f>SUM(D12:H12)</f>
        <v>797980</v>
      </c>
      <c r="D12" s="455">
        <v>156800</v>
      </c>
      <c r="E12" s="455">
        <v>509898</v>
      </c>
      <c r="F12" s="455">
        <v>81085</v>
      </c>
      <c r="G12" s="455">
        <v>34548</v>
      </c>
      <c r="H12" s="455">
        <v>15649</v>
      </c>
      <c r="I12" s="455">
        <f>SUM(J12:K12)</f>
        <v>0</v>
      </c>
      <c r="J12" s="455"/>
      <c r="K12" s="455"/>
      <c r="L12" s="455">
        <f>M12+P12+S12+V12+W12</f>
        <v>1254303</v>
      </c>
      <c r="M12" s="455">
        <f>207161+19301</f>
        <v>226462</v>
      </c>
      <c r="N12" s="455">
        <f>41523+4457</f>
        <v>45980</v>
      </c>
      <c r="O12" s="455">
        <v>0</v>
      </c>
      <c r="P12" s="455">
        <f>477725+63892-0.4</f>
        <v>541616.6</v>
      </c>
      <c r="Q12" s="455">
        <f>224372+227</f>
        <v>224599</v>
      </c>
      <c r="R12" s="455">
        <v>0</v>
      </c>
      <c r="S12" s="455">
        <f>T12+U12</f>
        <v>0</v>
      </c>
      <c r="T12" s="455"/>
      <c r="U12" s="455"/>
      <c r="V12" s="455"/>
      <c r="W12" s="455">
        <v>486224.4</v>
      </c>
      <c r="X12" s="456">
        <f t="shared" ref="X12:X15" si="5">L12/C12*100</f>
        <v>157.18476653550215</v>
      </c>
      <c r="Y12" s="456">
        <f t="shared" ref="Y12:Y15" si="6">M12/D12*100</f>
        <v>144.42729591836735</v>
      </c>
      <c r="Z12" s="456">
        <f t="shared" ref="Z12:Z15" si="7">P12/E12*100</f>
        <v>106.22057744882309</v>
      </c>
      <c r="AA12" s="456"/>
      <c r="AD12" s="458"/>
    </row>
    <row r="13" spans="1:30" s="451" customFormat="1" ht="48.75" customHeight="1">
      <c r="A13" s="453">
        <v>2</v>
      </c>
      <c r="B13" s="454" t="s">
        <v>312</v>
      </c>
      <c r="C13" s="455">
        <f>SUM(D13:H13)</f>
        <v>1185410</v>
      </c>
      <c r="D13" s="455">
        <v>758919</v>
      </c>
      <c r="E13" s="455">
        <v>382018</v>
      </c>
      <c r="F13" s="455">
        <v>15281</v>
      </c>
      <c r="G13" s="455">
        <v>5942</v>
      </c>
      <c r="H13" s="455">
        <v>23250</v>
      </c>
      <c r="I13" s="455">
        <f t="shared" ref="I13:I15" si="8">SUM(J13:K13)</f>
        <v>0</v>
      </c>
      <c r="J13" s="455"/>
      <c r="K13" s="455"/>
      <c r="L13" s="455">
        <f t="shared" ref="L13:L22" si="9">M13+P13+S13+V13+W13</f>
        <v>1274382</v>
      </c>
      <c r="M13" s="455">
        <f>168793+32075</f>
        <v>200868</v>
      </c>
      <c r="N13" s="455">
        <v>20646</v>
      </c>
      <c r="O13" s="455">
        <v>0</v>
      </c>
      <c r="P13" s="455">
        <f>312113+67127-0.4</f>
        <v>379239.6</v>
      </c>
      <c r="Q13" s="455">
        <f>132173+65</f>
        <v>132238</v>
      </c>
      <c r="R13" s="455">
        <v>0</v>
      </c>
      <c r="S13" s="455">
        <f t="shared" ref="S13:S22" si="10">T13+U13</f>
        <v>0</v>
      </c>
      <c r="T13" s="455"/>
      <c r="U13" s="455"/>
      <c r="V13" s="455"/>
      <c r="W13" s="455">
        <v>694274.4</v>
      </c>
      <c r="X13" s="456">
        <f t="shared" si="5"/>
        <v>107.50558878362762</v>
      </c>
      <c r="Y13" s="456">
        <f t="shared" si="6"/>
        <v>26.467646744909533</v>
      </c>
      <c r="Z13" s="456">
        <f t="shared" si="7"/>
        <v>99.272704427540063</v>
      </c>
      <c r="AA13" s="456"/>
      <c r="AD13" s="458"/>
    </row>
    <row r="14" spans="1:30" s="20" customFormat="1" ht="48.75" customHeight="1">
      <c r="A14" s="453">
        <v>3</v>
      </c>
      <c r="B14" s="454" t="s">
        <v>313</v>
      </c>
      <c r="C14" s="455">
        <f t="shared" ref="C14:C22" si="11">SUM(D14:H14)</f>
        <v>719766</v>
      </c>
      <c r="D14" s="455">
        <v>338135</v>
      </c>
      <c r="E14" s="455">
        <v>328124</v>
      </c>
      <c r="F14" s="455">
        <v>27749</v>
      </c>
      <c r="G14" s="455">
        <v>11643</v>
      </c>
      <c r="H14" s="455">
        <v>14115</v>
      </c>
      <c r="I14" s="455">
        <f t="shared" si="8"/>
        <v>0</v>
      </c>
      <c r="J14" s="455"/>
      <c r="K14" s="455"/>
      <c r="L14" s="455">
        <f t="shared" si="9"/>
        <v>903407.4</v>
      </c>
      <c r="M14" s="455">
        <f>140164+31619-V14</f>
        <v>171090</v>
      </c>
      <c r="N14" s="455">
        <f>63130+3442</f>
        <v>66572</v>
      </c>
      <c r="O14" s="455">
        <v>0</v>
      </c>
      <c r="P14" s="455">
        <f>246635+58468</f>
        <v>305103</v>
      </c>
      <c r="Q14" s="455">
        <f>113564+113</f>
        <v>113677</v>
      </c>
      <c r="R14" s="455">
        <v>0</v>
      </c>
      <c r="S14" s="455">
        <f t="shared" si="10"/>
        <v>0</v>
      </c>
      <c r="T14" s="455"/>
      <c r="U14" s="455"/>
      <c r="V14" s="455">
        <v>693</v>
      </c>
      <c r="W14" s="455">
        <v>426521.4</v>
      </c>
      <c r="X14" s="456">
        <f t="shared" si="5"/>
        <v>125.5140420636707</v>
      </c>
      <c r="Y14" s="456">
        <f t="shared" si="6"/>
        <v>50.598133881437889</v>
      </c>
      <c r="Z14" s="456">
        <f t="shared" si="7"/>
        <v>92.984054808547995</v>
      </c>
      <c r="AA14" s="456"/>
      <c r="AD14" s="37"/>
    </row>
    <row r="15" spans="1:30" s="451" customFormat="1" ht="48.75" customHeight="1">
      <c r="A15" s="453">
        <v>4</v>
      </c>
      <c r="B15" s="454" t="s">
        <v>314</v>
      </c>
      <c r="C15" s="455">
        <f t="shared" si="11"/>
        <v>675604</v>
      </c>
      <c r="D15" s="455">
        <v>149100</v>
      </c>
      <c r="E15" s="455">
        <v>471690</v>
      </c>
      <c r="F15" s="455">
        <v>29344</v>
      </c>
      <c r="G15" s="455">
        <v>12216</v>
      </c>
      <c r="H15" s="455">
        <v>13254</v>
      </c>
      <c r="I15" s="455">
        <f t="shared" si="8"/>
        <v>0</v>
      </c>
      <c r="J15" s="455"/>
      <c r="K15" s="455"/>
      <c r="L15" s="455">
        <f t="shared" si="9"/>
        <v>1126284.3999999999</v>
      </c>
      <c r="M15" s="455">
        <f>267174</f>
        <v>267174</v>
      </c>
      <c r="N15" s="455">
        <v>54395</v>
      </c>
      <c r="O15" s="455">
        <v>3801</v>
      </c>
      <c r="P15" s="455">
        <f>446261+79208</f>
        <v>525469</v>
      </c>
      <c r="Q15" s="455">
        <v>227274</v>
      </c>
      <c r="R15" s="455">
        <v>0</v>
      </c>
      <c r="S15" s="455">
        <f t="shared" si="10"/>
        <v>0</v>
      </c>
      <c r="T15" s="455"/>
      <c r="U15" s="455"/>
      <c r="V15" s="455"/>
      <c r="W15" s="455">
        <v>333641.40000000002</v>
      </c>
      <c r="X15" s="456">
        <f t="shared" si="5"/>
        <v>166.70777556083146</v>
      </c>
      <c r="Y15" s="456">
        <f t="shared" si="6"/>
        <v>179.19114688128772</v>
      </c>
      <c r="Z15" s="456">
        <f t="shared" si="7"/>
        <v>111.40134410311857</v>
      </c>
      <c r="AA15" s="456"/>
      <c r="AD15" s="458"/>
    </row>
    <row r="16" spans="1:30" s="441" customFormat="1" ht="48.75" customHeight="1">
      <c r="A16" s="453">
        <v>5</v>
      </c>
      <c r="B16" s="457" t="s">
        <v>317</v>
      </c>
      <c r="C16" s="455">
        <f t="shared" si="11"/>
        <v>1023970</v>
      </c>
      <c r="D16" s="455">
        <v>234920</v>
      </c>
      <c r="E16" s="455">
        <v>762077</v>
      </c>
      <c r="F16" s="455">
        <v>5145</v>
      </c>
      <c r="G16" s="455">
        <v>1741</v>
      </c>
      <c r="H16" s="455">
        <v>20087</v>
      </c>
      <c r="I16" s="455">
        <f t="shared" ref="I16:I22" si="12">SUM(J16:K16)</f>
        <v>0</v>
      </c>
      <c r="J16" s="455"/>
      <c r="K16" s="455"/>
      <c r="L16" s="455">
        <f t="shared" si="9"/>
        <v>1537007.4</v>
      </c>
      <c r="M16" s="455">
        <f>241632+285606-V16</f>
        <v>527212</v>
      </c>
      <c r="N16" s="455">
        <f>63279+38581</f>
        <v>101860</v>
      </c>
      <c r="O16" s="455">
        <v>0</v>
      </c>
      <c r="P16" s="455">
        <f>501806+127424</f>
        <v>629230</v>
      </c>
      <c r="Q16" s="455">
        <f>281213</f>
        <v>281213</v>
      </c>
      <c r="R16" s="455">
        <v>0</v>
      </c>
      <c r="S16" s="455">
        <f t="shared" si="10"/>
        <v>0</v>
      </c>
      <c r="T16" s="455"/>
      <c r="U16" s="455"/>
      <c r="V16" s="455">
        <v>26</v>
      </c>
      <c r="W16" s="455">
        <v>380539.4</v>
      </c>
      <c r="X16" s="456">
        <f t="shared" ref="X16:Y22" si="13">L16/C16*100</f>
        <v>150.10277644852877</v>
      </c>
      <c r="Y16" s="456">
        <f t="shared" si="13"/>
        <v>224.42193087008343</v>
      </c>
      <c r="Z16" s="456">
        <f t="shared" ref="Z16:Z22" si="14">P16/E16*100</f>
        <v>82.567772023037051</v>
      </c>
      <c r="AA16" s="456"/>
      <c r="AD16" s="452"/>
    </row>
    <row r="17" spans="1:27" s="441" customFormat="1" ht="48.75" customHeight="1">
      <c r="A17" s="453">
        <v>6</v>
      </c>
      <c r="B17" s="457" t="s">
        <v>318</v>
      </c>
      <c r="C17" s="455">
        <f t="shared" si="11"/>
        <v>909587</v>
      </c>
      <c r="D17" s="455">
        <v>372295</v>
      </c>
      <c r="E17" s="455">
        <v>472928</v>
      </c>
      <c r="F17" s="455">
        <v>32859</v>
      </c>
      <c r="G17" s="455">
        <v>13488</v>
      </c>
      <c r="H17" s="455">
        <v>18017</v>
      </c>
      <c r="I17" s="455">
        <f t="shared" si="12"/>
        <v>0</v>
      </c>
      <c r="J17" s="455"/>
      <c r="K17" s="455"/>
      <c r="L17" s="455">
        <f t="shared" si="9"/>
        <v>988128.4</v>
      </c>
      <c r="M17" s="455">
        <f>466242-V17</f>
        <v>466155</v>
      </c>
      <c r="N17" s="455">
        <v>41855</v>
      </c>
      <c r="O17" s="455">
        <v>0</v>
      </c>
      <c r="P17" s="455">
        <f>335896+95130</f>
        <v>431026</v>
      </c>
      <c r="Q17" s="455">
        <v>138355</v>
      </c>
      <c r="R17" s="455">
        <v>0</v>
      </c>
      <c r="S17" s="455">
        <f t="shared" si="10"/>
        <v>0</v>
      </c>
      <c r="T17" s="455"/>
      <c r="U17" s="455"/>
      <c r="V17" s="455">
        <v>87</v>
      </c>
      <c r="W17" s="455">
        <v>90860.4</v>
      </c>
      <c r="X17" s="456">
        <f t="shared" si="13"/>
        <v>108.63484196673876</v>
      </c>
      <c r="Y17" s="456">
        <f t="shared" si="13"/>
        <v>125.21119005090048</v>
      </c>
      <c r="Z17" s="456">
        <f t="shared" si="14"/>
        <v>91.139877528926178</v>
      </c>
      <c r="AA17" s="456"/>
    </row>
    <row r="18" spans="1:27" s="441" customFormat="1" ht="48.75" customHeight="1">
      <c r="A18" s="453">
        <v>7</v>
      </c>
      <c r="B18" s="457" t="s">
        <v>319</v>
      </c>
      <c r="C18" s="455">
        <f t="shared" si="11"/>
        <v>959402</v>
      </c>
      <c r="D18" s="455">
        <v>117740</v>
      </c>
      <c r="E18" s="455">
        <v>767465</v>
      </c>
      <c r="F18" s="455">
        <v>39116</v>
      </c>
      <c r="G18" s="455">
        <v>16159</v>
      </c>
      <c r="H18" s="455">
        <v>18922</v>
      </c>
      <c r="I18" s="455">
        <f t="shared" si="12"/>
        <v>0</v>
      </c>
      <c r="J18" s="455"/>
      <c r="K18" s="455"/>
      <c r="L18" s="455">
        <f t="shared" si="9"/>
        <v>1564953.4</v>
      </c>
      <c r="M18" s="455">
        <f>245879+88119</f>
        <v>333998</v>
      </c>
      <c r="N18" s="455">
        <v>172135</v>
      </c>
      <c r="O18" s="455">
        <v>0</v>
      </c>
      <c r="P18" s="455">
        <f>555857+131662+11660</f>
        <v>699179</v>
      </c>
      <c r="Q18" s="455">
        <f>332435+1017</f>
        <v>333452</v>
      </c>
      <c r="R18" s="455">
        <v>7</v>
      </c>
      <c r="S18" s="455">
        <f t="shared" si="10"/>
        <v>0</v>
      </c>
      <c r="T18" s="455"/>
      <c r="U18" s="455"/>
      <c r="V18" s="455"/>
      <c r="W18" s="455">
        <v>531776.4</v>
      </c>
      <c r="X18" s="456">
        <f t="shared" si="13"/>
        <v>163.11758783075291</v>
      </c>
      <c r="Y18" s="456">
        <f t="shared" si="13"/>
        <v>283.67419738406659</v>
      </c>
      <c r="Z18" s="456">
        <f t="shared" si="14"/>
        <v>91.102395548982699</v>
      </c>
      <c r="AA18" s="456"/>
    </row>
    <row r="19" spans="1:27" s="451" customFormat="1" ht="48.75" customHeight="1">
      <c r="A19" s="453">
        <v>8</v>
      </c>
      <c r="B19" s="454" t="s">
        <v>315</v>
      </c>
      <c r="C19" s="455">
        <f t="shared" si="11"/>
        <v>732652</v>
      </c>
      <c r="D19" s="455">
        <v>333725</v>
      </c>
      <c r="E19" s="455">
        <v>384269</v>
      </c>
      <c r="F19" s="455">
        <v>0</v>
      </c>
      <c r="G19" s="455">
        <v>0</v>
      </c>
      <c r="H19" s="455">
        <v>14658</v>
      </c>
      <c r="I19" s="455">
        <f t="shared" si="12"/>
        <v>0</v>
      </c>
      <c r="J19" s="455"/>
      <c r="K19" s="455"/>
      <c r="L19" s="455">
        <f t="shared" si="9"/>
        <v>1022392</v>
      </c>
      <c r="M19" s="455">
        <f>202017+246953-V19</f>
        <v>448135</v>
      </c>
      <c r="N19" s="455">
        <f>39606+5829</f>
        <v>45435</v>
      </c>
      <c r="O19" s="455"/>
      <c r="P19" s="455">
        <f>364010+79589</f>
        <v>443599</v>
      </c>
      <c r="Q19" s="455">
        <f>146916+385</f>
        <v>147301</v>
      </c>
      <c r="R19" s="455">
        <v>0</v>
      </c>
      <c r="S19" s="455">
        <f t="shared" si="10"/>
        <v>0</v>
      </c>
      <c r="T19" s="455"/>
      <c r="U19" s="455"/>
      <c r="V19" s="455">
        <v>835</v>
      </c>
      <c r="W19" s="455">
        <v>129823</v>
      </c>
      <c r="X19" s="456">
        <f t="shared" si="13"/>
        <v>139.54674251895852</v>
      </c>
      <c r="Y19" s="456">
        <f t="shared" si="13"/>
        <v>134.28271780657727</v>
      </c>
      <c r="Z19" s="456">
        <f t="shared" si="14"/>
        <v>115.43970499832147</v>
      </c>
      <c r="AA19" s="456"/>
    </row>
    <row r="20" spans="1:27" s="451" customFormat="1" ht="48.75" customHeight="1">
      <c r="A20" s="453">
        <v>9</v>
      </c>
      <c r="B20" s="457" t="s">
        <v>316</v>
      </c>
      <c r="C20" s="455">
        <f t="shared" si="11"/>
        <v>738879</v>
      </c>
      <c r="D20" s="455">
        <v>185570</v>
      </c>
      <c r="E20" s="455">
        <v>538820</v>
      </c>
      <c r="F20" s="455">
        <v>0</v>
      </c>
      <c r="G20" s="455">
        <v>0</v>
      </c>
      <c r="H20" s="455">
        <v>14489</v>
      </c>
      <c r="I20" s="455">
        <f t="shared" si="12"/>
        <v>0</v>
      </c>
      <c r="J20" s="455"/>
      <c r="K20" s="455"/>
      <c r="L20" s="455">
        <f t="shared" si="9"/>
        <v>1119094</v>
      </c>
      <c r="M20" s="455">
        <f>198566+102702-V20</f>
        <v>301268</v>
      </c>
      <c r="N20" s="455">
        <v>35150</v>
      </c>
      <c r="O20" s="455">
        <v>0</v>
      </c>
      <c r="P20" s="455">
        <f>395745+118924</f>
        <v>514669</v>
      </c>
      <c r="Q20" s="455">
        <v>187813</v>
      </c>
      <c r="R20" s="455">
        <v>0</v>
      </c>
      <c r="S20" s="455">
        <f t="shared" si="10"/>
        <v>0</v>
      </c>
      <c r="T20" s="455"/>
      <c r="U20" s="455"/>
      <c r="V20" s="455"/>
      <c r="W20" s="455">
        <v>303157</v>
      </c>
      <c r="X20" s="456">
        <f t="shared" si="13"/>
        <v>151.45835786373684</v>
      </c>
      <c r="Y20" s="456">
        <f t="shared" si="13"/>
        <v>162.34736218138707</v>
      </c>
      <c r="Z20" s="456">
        <f t="shared" si="14"/>
        <v>95.517798151516274</v>
      </c>
      <c r="AA20" s="456"/>
    </row>
    <row r="21" spans="1:27" s="441" customFormat="1" ht="48.75" customHeight="1">
      <c r="A21" s="453">
        <v>10</v>
      </c>
      <c r="B21" s="457" t="s">
        <v>320</v>
      </c>
      <c r="C21" s="455">
        <f t="shared" si="11"/>
        <v>798010</v>
      </c>
      <c r="D21" s="455">
        <v>129605</v>
      </c>
      <c r="E21" s="455">
        <v>593322</v>
      </c>
      <c r="F21" s="455">
        <v>41983</v>
      </c>
      <c r="G21" s="455">
        <v>17307</v>
      </c>
      <c r="H21" s="455">
        <v>15793</v>
      </c>
      <c r="I21" s="455">
        <f t="shared" si="12"/>
        <v>0</v>
      </c>
      <c r="J21" s="455"/>
      <c r="K21" s="455"/>
      <c r="L21" s="455">
        <f t="shared" si="9"/>
        <v>1084240</v>
      </c>
      <c r="M21" s="455">
        <f>143430+86403-V21</f>
        <v>223247</v>
      </c>
      <c r="N21" s="455">
        <f>54909+963</f>
        <v>55872</v>
      </c>
      <c r="O21" s="455"/>
      <c r="P21" s="455">
        <f>528062+108261</f>
        <v>636323</v>
      </c>
      <c r="Q21" s="455">
        <f>232417+836</f>
        <v>233253</v>
      </c>
      <c r="R21" s="455">
        <v>0</v>
      </c>
      <c r="S21" s="455">
        <f t="shared" si="10"/>
        <v>0</v>
      </c>
      <c r="T21" s="455"/>
      <c r="U21" s="455"/>
      <c r="V21" s="455">
        <v>6586</v>
      </c>
      <c r="W21" s="455">
        <v>218084</v>
      </c>
      <c r="X21" s="456">
        <f t="shared" si="13"/>
        <v>135.86797157930351</v>
      </c>
      <c r="Y21" s="456">
        <f t="shared" si="13"/>
        <v>172.25184213572007</v>
      </c>
      <c r="Z21" s="456">
        <f t="shared" si="14"/>
        <v>107.2474979859166</v>
      </c>
      <c r="AA21" s="456"/>
    </row>
    <row r="22" spans="1:27" s="441" customFormat="1" ht="48.75" customHeight="1">
      <c r="A22" s="453">
        <v>11</v>
      </c>
      <c r="B22" s="457" t="s">
        <v>321</v>
      </c>
      <c r="C22" s="455">
        <f t="shared" si="11"/>
        <v>681411</v>
      </c>
      <c r="D22" s="455">
        <v>115997</v>
      </c>
      <c r="E22" s="455">
        <v>520478</v>
      </c>
      <c r="F22" s="455">
        <v>21952</v>
      </c>
      <c r="G22" s="455">
        <v>9408</v>
      </c>
      <c r="H22" s="455">
        <v>13576</v>
      </c>
      <c r="I22" s="455">
        <f t="shared" si="12"/>
        <v>0</v>
      </c>
      <c r="J22" s="455"/>
      <c r="K22" s="455"/>
      <c r="L22" s="455">
        <f t="shared" si="9"/>
        <v>1167895</v>
      </c>
      <c r="M22" s="455">
        <f>252571+8795</f>
        <v>261366</v>
      </c>
      <c r="N22" s="455">
        <f>63130+3442</f>
        <v>66572</v>
      </c>
      <c r="O22" s="455">
        <v>0</v>
      </c>
      <c r="P22" s="455">
        <f>372140+75041</f>
        <v>447181</v>
      </c>
      <c r="Q22" s="455">
        <f>113564+113</f>
        <v>113677</v>
      </c>
      <c r="R22" s="455">
        <v>0</v>
      </c>
      <c r="S22" s="455">
        <f t="shared" si="10"/>
        <v>0</v>
      </c>
      <c r="T22" s="455"/>
      <c r="U22" s="455"/>
      <c r="V22" s="455"/>
      <c r="W22" s="455">
        <v>459348</v>
      </c>
      <c r="X22" s="456">
        <f t="shared" si="13"/>
        <v>171.3936229382854</v>
      </c>
      <c r="Y22" s="456">
        <f t="shared" si="13"/>
        <v>225.3213445175306</v>
      </c>
      <c r="Z22" s="456">
        <f t="shared" si="14"/>
        <v>85.917368265325337</v>
      </c>
      <c r="AA22" s="456"/>
    </row>
    <row r="25" spans="1:27" ht="23.25" customHeight="1">
      <c r="J25" s="452"/>
      <c r="K25" s="442"/>
      <c r="P25" s="343"/>
      <c r="Q25" s="19"/>
      <c r="S25" s="452"/>
      <c r="T25" s="452"/>
      <c r="U25" s="452"/>
      <c r="V25" s="452"/>
      <c r="W25" s="452"/>
    </row>
    <row r="26" spans="1:27">
      <c r="J26" s="452"/>
      <c r="Q26" s="19"/>
      <c r="S26" s="452"/>
      <c r="T26" s="452"/>
      <c r="U26" s="452"/>
      <c r="V26" s="452"/>
      <c r="W26" s="452"/>
    </row>
  </sheetData>
  <mergeCells count="38">
    <mergeCell ref="X1:AA1"/>
    <mergeCell ref="L7:L9"/>
    <mergeCell ref="T8:U8"/>
    <mergeCell ref="X7:X9"/>
    <mergeCell ref="W7:W9"/>
    <mergeCell ref="W2:AA2"/>
    <mergeCell ref="A3:AA3"/>
    <mergeCell ref="I8:I9"/>
    <mergeCell ref="D7:D9"/>
    <mergeCell ref="P8:P9"/>
    <mergeCell ref="A4:AA4"/>
    <mergeCell ref="AA7:AA9"/>
    <mergeCell ref="Q5:R5"/>
    <mergeCell ref="S5:AA5"/>
    <mergeCell ref="C6:K6"/>
    <mergeCell ref="L6:W6"/>
    <mergeCell ref="X6:AA6"/>
    <mergeCell ref="Y7:Y9"/>
    <mergeCell ref="Z7:Z9"/>
    <mergeCell ref="N8:O8"/>
    <mergeCell ref="Q8:R8"/>
    <mergeCell ref="S7:U7"/>
    <mergeCell ref="S8:S9"/>
    <mergeCell ref="V7:V9"/>
    <mergeCell ref="A1:D1"/>
    <mergeCell ref="A11:B11"/>
    <mergeCell ref="M8:M9"/>
    <mergeCell ref="M7:O7"/>
    <mergeCell ref="P7:R7"/>
    <mergeCell ref="A6:A9"/>
    <mergeCell ref="B6:B9"/>
    <mergeCell ref="C7:C9"/>
    <mergeCell ref="I7:K7"/>
    <mergeCell ref="J8:K8"/>
    <mergeCell ref="E7:E9"/>
    <mergeCell ref="F7:F9"/>
    <mergeCell ref="H7:H9"/>
    <mergeCell ref="G7:G9"/>
  </mergeCells>
  <printOptions horizontalCentered="1"/>
  <pageMargins left="0.31" right="0.23" top="0.71" bottom="0.18" header="0.42" footer="0.16"/>
  <pageSetup paperSize="9" scale="45" fitToHeight="5" orientation="landscape" r:id="rId1"/>
  <headerFooter alignWithMargins="0">
    <oddFooter xml:space="preserve">&amp;C&amp;".VnTime,Italic"&amp;8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0"/>
  <sheetViews>
    <sheetView zoomScale="54" zoomScaleNormal="54" zoomScalePageLayoutView="70" workbookViewId="0">
      <selection sqref="A1:D1"/>
    </sheetView>
  </sheetViews>
  <sheetFormatPr defaultRowHeight="15.75"/>
  <cols>
    <col min="1" max="1" width="7.5" style="59" customWidth="1"/>
    <col min="2" max="2" width="52.25" style="58" customWidth="1"/>
    <col min="3" max="26" width="13.25" style="58" customWidth="1"/>
    <col min="27" max="29" width="13.125" style="58" customWidth="1"/>
    <col min="30" max="16384" width="9" style="495"/>
  </cols>
  <sheetData>
    <row r="1" spans="1:29" ht="21" customHeight="1">
      <c r="A1" s="844" t="str">
        <f>'PL5941'!A1:C1</f>
        <v>HỘI NHÂN DÂN TỈNH BÌNH PHƯỚC</v>
      </c>
      <c r="B1" s="844"/>
      <c r="C1" s="844"/>
      <c r="D1" s="844"/>
      <c r="E1" s="542"/>
      <c r="F1" s="542"/>
      <c r="G1" s="542"/>
      <c r="H1" s="542"/>
      <c r="I1" s="542"/>
      <c r="J1" s="542"/>
      <c r="K1" s="542"/>
      <c r="L1" s="542"/>
      <c r="M1" s="542"/>
      <c r="N1" s="542"/>
      <c r="O1" s="542"/>
      <c r="P1" s="542"/>
      <c r="Q1" s="542"/>
      <c r="R1" s="542"/>
      <c r="S1" s="542"/>
      <c r="T1" s="542"/>
      <c r="U1" s="542"/>
      <c r="V1" s="542"/>
      <c r="W1" s="542"/>
      <c r="X1" s="542"/>
      <c r="Y1" s="542"/>
      <c r="Z1" s="805" t="s">
        <v>472</v>
      </c>
      <c r="AA1" s="805"/>
      <c r="AB1" s="805"/>
      <c r="AC1" s="805"/>
    </row>
    <row r="2" spans="1:29" ht="62.25" customHeight="1">
      <c r="A2" s="543"/>
      <c r="B2" s="543"/>
      <c r="C2" s="542"/>
      <c r="D2" s="542"/>
      <c r="E2" s="542"/>
      <c r="F2" s="542"/>
      <c r="G2" s="542"/>
      <c r="H2" s="542"/>
      <c r="I2" s="542"/>
      <c r="J2" s="542"/>
      <c r="K2" s="542"/>
      <c r="L2" s="542"/>
      <c r="M2" s="542"/>
      <c r="N2" s="542"/>
      <c r="O2" s="542"/>
      <c r="P2" s="542"/>
      <c r="Q2" s="542"/>
      <c r="R2" s="542"/>
      <c r="S2" s="542"/>
      <c r="T2" s="542"/>
      <c r="U2" s="542"/>
      <c r="V2" s="542"/>
      <c r="W2" s="542"/>
      <c r="X2" s="542"/>
      <c r="Y2" s="857" t="s">
        <v>340</v>
      </c>
      <c r="Z2" s="857"/>
      <c r="AA2" s="857"/>
      <c r="AB2" s="857"/>
      <c r="AC2" s="857"/>
    </row>
    <row r="3" spans="1:29" ht="27.75" customHeight="1">
      <c r="A3" s="805" t="s">
        <v>519</v>
      </c>
      <c r="B3" s="805"/>
      <c r="C3" s="805"/>
      <c r="D3" s="805"/>
      <c r="E3" s="805"/>
      <c r="F3" s="805"/>
      <c r="G3" s="805"/>
      <c r="H3" s="805"/>
      <c r="I3" s="805"/>
      <c r="J3" s="805"/>
      <c r="K3" s="805"/>
      <c r="L3" s="805"/>
      <c r="M3" s="805"/>
      <c r="N3" s="805"/>
      <c r="O3" s="805"/>
      <c r="P3" s="805"/>
      <c r="Q3" s="805"/>
      <c r="R3" s="805"/>
      <c r="S3" s="805"/>
      <c r="T3" s="805"/>
      <c r="U3" s="805"/>
      <c r="V3" s="805"/>
      <c r="W3" s="805"/>
      <c r="X3" s="805"/>
      <c r="Y3" s="805"/>
      <c r="Z3" s="805"/>
      <c r="AA3" s="805"/>
      <c r="AB3" s="805"/>
      <c r="AC3" s="805"/>
    </row>
    <row r="4" spans="1:29" ht="27.75" customHeight="1">
      <c r="A4" s="838" t="str">
        <f>'PL5840'!A4:AA4</f>
        <v>(Kèm theo Nghị quyết số:         /NQ-HĐND ngày      tháng  12  năm 2023 của Hội đồng nhân dân tỉnh)</v>
      </c>
      <c r="B4" s="838"/>
      <c r="C4" s="838"/>
      <c r="D4" s="838"/>
      <c r="E4" s="838"/>
      <c r="F4" s="838"/>
      <c r="G4" s="838"/>
      <c r="H4" s="838"/>
      <c r="I4" s="838"/>
      <c r="J4" s="838"/>
      <c r="K4" s="838"/>
      <c r="L4" s="838"/>
      <c r="M4" s="838"/>
      <c r="N4" s="838"/>
      <c r="O4" s="838"/>
      <c r="P4" s="838"/>
      <c r="Q4" s="838"/>
      <c r="R4" s="838"/>
      <c r="S4" s="838"/>
      <c r="T4" s="838"/>
      <c r="U4" s="838"/>
      <c r="V4" s="838"/>
      <c r="W4" s="838"/>
      <c r="X4" s="838"/>
      <c r="Y4" s="838"/>
      <c r="Z4" s="838"/>
      <c r="AA4" s="838"/>
      <c r="AB4" s="838"/>
      <c r="AC4" s="838"/>
    </row>
    <row r="5" spans="1:29" ht="19.5" customHeight="1">
      <c r="A5" s="544"/>
      <c r="B5" s="545"/>
      <c r="C5" s="546"/>
      <c r="D5" s="546"/>
      <c r="E5" s="546"/>
      <c r="F5" s="546"/>
      <c r="G5" s="546"/>
      <c r="H5" s="546"/>
      <c r="I5" s="546"/>
      <c r="J5" s="546"/>
      <c r="K5" s="547"/>
      <c r="L5" s="546"/>
      <c r="M5" s="546"/>
      <c r="N5" s="547"/>
      <c r="O5" s="546"/>
      <c r="P5" s="546"/>
      <c r="Q5" s="546"/>
      <c r="R5" s="546"/>
      <c r="S5" s="546"/>
      <c r="T5" s="546"/>
      <c r="U5" s="546"/>
      <c r="V5" s="546"/>
      <c r="W5" s="547"/>
      <c r="X5" s="546"/>
      <c r="Y5" s="546"/>
      <c r="Z5" s="547"/>
      <c r="AA5" s="548"/>
      <c r="AB5" s="858" t="s">
        <v>209</v>
      </c>
      <c r="AC5" s="858"/>
    </row>
    <row r="6" spans="1:29" s="396" customFormat="1" ht="50.25" customHeight="1">
      <c r="A6" s="807" t="s">
        <v>18</v>
      </c>
      <c r="B6" s="807" t="s">
        <v>332</v>
      </c>
      <c r="C6" s="859" t="s">
        <v>237</v>
      </c>
      <c r="D6" s="860"/>
      <c r="E6" s="860"/>
      <c r="F6" s="860"/>
      <c r="G6" s="860"/>
      <c r="H6" s="860"/>
      <c r="I6" s="860"/>
      <c r="J6" s="860"/>
      <c r="K6" s="860"/>
      <c r="L6" s="860"/>
      <c r="M6" s="860"/>
      <c r="N6" s="860"/>
      <c r="O6" s="859" t="s">
        <v>238</v>
      </c>
      <c r="P6" s="860"/>
      <c r="Q6" s="860"/>
      <c r="R6" s="860"/>
      <c r="S6" s="860"/>
      <c r="T6" s="860"/>
      <c r="U6" s="860"/>
      <c r="V6" s="860"/>
      <c r="W6" s="860"/>
      <c r="X6" s="860"/>
      <c r="Y6" s="860"/>
      <c r="Z6" s="860"/>
      <c r="AA6" s="830" t="s">
        <v>239</v>
      </c>
      <c r="AB6" s="831"/>
      <c r="AC6" s="856"/>
    </row>
    <row r="7" spans="1:29" s="396" customFormat="1" ht="60" customHeight="1">
      <c r="A7" s="808"/>
      <c r="B7" s="808"/>
      <c r="C7" s="807" t="s">
        <v>144</v>
      </c>
      <c r="D7" s="830" t="s">
        <v>274</v>
      </c>
      <c r="E7" s="856"/>
      <c r="F7" s="830" t="s">
        <v>325</v>
      </c>
      <c r="G7" s="831"/>
      <c r="H7" s="856"/>
      <c r="I7" s="830" t="s">
        <v>326</v>
      </c>
      <c r="J7" s="831"/>
      <c r="K7" s="856"/>
      <c r="L7" s="830" t="s">
        <v>525</v>
      </c>
      <c r="M7" s="831"/>
      <c r="N7" s="856"/>
      <c r="O7" s="807" t="s">
        <v>144</v>
      </c>
      <c r="P7" s="830" t="s">
        <v>274</v>
      </c>
      <c r="Q7" s="856"/>
      <c r="R7" s="830" t="s">
        <v>325</v>
      </c>
      <c r="S7" s="831"/>
      <c r="T7" s="856"/>
      <c r="U7" s="830" t="s">
        <v>326</v>
      </c>
      <c r="V7" s="831"/>
      <c r="W7" s="856"/>
      <c r="X7" s="830" t="s">
        <v>525</v>
      </c>
      <c r="Y7" s="831"/>
      <c r="Z7" s="856"/>
      <c r="AA7" s="807" t="s">
        <v>144</v>
      </c>
      <c r="AB7" s="830" t="s">
        <v>274</v>
      </c>
      <c r="AC7" s="856"/>
    </row>
    <row r="8" spans="1:29" s="396" customFormat="1" ht="120" customHeight="1">
      <c r="A8" s="816"/>
      <c r="B8" s="816"/>
      <c r="C8" s="816"/>
      <c r="D8" s="516" t="s">
        <v>293</v>
      </c>
      <c r="E8" s="516" t="s">
        <v>294</v>
      </c>
      <c r="F8" s="516" t="s">
        <v>144</v>
      </c>
      <c r="G8" s="549" t="s">
        <v>167</v>
      </c>
      <c r="H8" s="549" t="s">
        <v>294</v>
      </c>
      <c r="I8" s="516" t="s">
        <v>144</v>
      </c>
      <c r="J8" s="549" t="s">
        <v>167</v>
      </c>
      <c r="K8" s="549" t="s">
        <v>294</v>
      </c>
      <c r="L8" s="516" t="s">
        <v>144</v>
      </c>
      <c r="M8" s="549" t="s">
        <v>167</v>
      </c>
      <c r="N8" s="549" t="s">
        <v>294</v>
      </c>
      <c r="O8" s="816"/>
      <c r="P8" s="516" t="s">
        <v>293</v>
      </c>
      <c r="Q8" s="516" t="s">
        <v>294</v>
      </c>
      <c r="R8" s="516" t="s">
        <v>144</v>
      </c>
      <c r="S8" s="549" t="s">
        <v>167</v>
      </c>
      <c r="T8" s="549" t="s">
        <v>294</v>
      </c>
      <c r="U8" s="516" t="s">
        <v>144</v>
      </c>
      <c r="V8" s="549" t="s">
        <v>167</v>
      </c>
      <c r="W8" s="549" t="s">
        <v>294</v>
      </c>
      <c r="X8" s="516" t="s">
        <v>144</v>
      </c>
      <c r="Y8" s="549" t="s">
        <v>167</v>
      </c>
      <c r="Z8" s="549" t="s">
        <v>294</v>
      </c>
      <c r="AA8" s="816"/>
      <c r="AB8" s="516" t="s">
        <v>167</v>
      </c>
      <c r="AC8" s="516" t="s">
        <v>154</v>
      </c>
    </row>
    <row r="9" spans="1:29" s="498" customFormat="1" ht="29.25" customHeight="1">
      <c r="A9" s="550" t="s">
        <v>1</v>
      </c>
      <c r="B9" s="550" t="s">
        <v>2</v>
      </c>
      <c r="C9" s="550">
        <v>1</v>
      </c>
      <c r="D9" s="550">
        <f t="shared" ref="D9" si="0">C9+1</f>
        <v>2</v>
      </c>
      <c r="E9" s="550">
        <v>3</v>
      </c>
      <c r="F9" s="550">
        <f t="shared" ref="F9" si="1">E9+1</f>
        <v>4</v>
      </c>
      <c r="G9" s="550">
        <v>5</v>
      </c>
      <c r="H9" s="550">
        <f t="shared" ref="H9" si="2">G9+1</f>
        <v>6</v>
      </c>
      <c r="I9" s="550">
        <v>7</v>
      </c>
      <c r="J9" s="550">
        <f t="shared" ref="J9" si="3">I9+1</f>
        <v>8</v>
      </c>
      <c r="K9" s="550">
        <v>9</v>
      </c>
      <c r="L9" s="550">
        <f t="shared" ref="L9" si="4">K9+1</f>
        <v>10</v>
      </c>
      <c r="M9" s="550">
        <v>11</v>
      </c>
      <c r="N9" s="550">
        <f t="shared" ref="N9" si="5">M9+1</f>
        <v>12</v>
      </c>
      <c r="O9" s="550">
        <v>13</v>
      </c>
      <c r="P9" s="550">
        <f t="shared" ref="P9" si="6">O9+1</f>
        <v>14</v>
      </c>
      <c r="Q9" s="550">
        <v>15</v>
      </c>
      <c r="R9" s="550">
        <f t="shared" ref="R9" si="7">Q9+1</f>
        <v>16</v>
      </c>
      <c r="S9" s="550">
        <v>17</v>
      </c>
      <c r="T9" s="550">
        <f t="shared" ref="T9" si="8">S9+1</f>
        <v>18</v>
      </c>
      <c r="U9" s="550">
        <v>19</v>
      </c>
      <c r="V9" s="550">
        <f t="shared" ref="V9" si="9">U9+1</f>
        <v>20</v>
      </c>
      <c r="W9" s="550">
        <v>21</v>
      </c>
      <c r="X9" s="550">
        <f t="shared" ref="X9" si="10">W9+1</f>
        <v>22</v>
      </c>
      <c r="Y9" s="550">
        <v>23</v>
      </c>
      <c r="Z9" s="550">
        <f t="shared" ref="Z9" si="11">Y9+1</f>
        <v>24</v>
      </c>
      <c r="AA9" s="550" t="s">
        <v>473</v>
      </c>
      <c r="AB9" s="550" t="s">
        <v>474</v>
      </c>
      <c r="AC9" s="550" t="s">
        <v>475</v>
      </c>
    </row>
    <row r="10" spans="1:29" s="496" customFormat="1" ht="36.75" customHeight="1">
      <c r="A10" s="828" t="s">
        <v>271</v>
      </c>
      <c r="B10" s="828"/>
      <c r="C10" s="522">
        <f>C11+C29</f>
        <v>175229</v>
      </c>
      <c r="D10" s="522">
        <f t="shared" ref="D10:Z10" si="12">D11+D29</f>
        <v>0</v>
      </c>
      <c r="E10" s="522">
        <f t="shared" si="12"/>
        <v>175229</v>
      </c>
      <c r="F10" s="522">
        <f t="shared" si="12"/>
        <v>23742</v>
      </c>
      <c r="G10" s="522">
        <f t="shared" si="12"/>
        <v>0</v>
      </c>
      <c r="H10" s="522">
        <f t="shared" si="12"/>
        <v>23742</v>
      </c>
      <c r="I10" s="522">
        <f t="shared" si="12"/>
        <v>107848</v>
      </c>
      <c r="J10" s="522">
        <f t="shared" si="12"/>
        <v>0</v>
      </c>
      <c r="K10" s="522">
        <f t="shared" si="12"/>
        <v>107848</v>
      </c>
      <c r="L10" s="522">
        <f t="shared" si="12"/>
        <v>43639</v>
      </c>
      <c r="M10" s="522">
        <f t="shared" si="12"/>
        <v>0</v>
      </c>
      <c r="N10" s="522">
        <f t="shared" si="12"/>
        <v>43639</v>
      </c>
      <c r="O10" s="522">
        <f t="shared" si="12"/>
        <v>9353.51</v>
      </c>
      <c r="P10" s="522">
        <f t="shared" si="12"/>
        <v>0</v>
      </c>
      <c r="Q10" s="522">
        <f t="shared" si="12"/>
        <v>9353.51</v>
      </c>
      <c r="R10" s="522">
        <f t="shared" si="12"/>
        <v>3142.6099999999997</v>
      </c>
      <c r="S10" s="522">
        <f t="shared" si="12"/>
        <v>0</v>
      </c>
      <c r="T10" s="522">
        <f t="shared" si="12"/>
        <v>3142.6099999999997</v>
      </c>
      <c r="U10" s="522">
        <f t="shared" si="12"/>
        <v>4603</v>
      </c>
      <c r="V10" s="522">
        <f t="shared" si="12"/>
        <v>0</v>
      </c>
      <c r="W10" s="522">
        <f t="shared" si="12"/>
        <v>4603</v>
      </c>
      <c r="X10" s="522">
        <f t="shared" si="12"/>
        <v>1607.9</v>
      </c>
      <c r="Y10" s="522">
        <f t="shared" si="12"/>
        <v>0</v>
      </c>
      <c r="Z10" s="522">
        <f t="shared" si="12"/>
        <v>1607.9</v>
      </c>
      <c r="AA10" s="530">
        <f t="shared" ref="AA10:AA40" si="13">O10/C10*100</f>
        <v>5.3378778626825465</v>
      </c>
      <c r="AB10" s="530">
        <v>0</v>
      </c>
      <c r="AC10" s="530">
        <f>Q10/E10*100</f>
        <v>5.3378778626825465</v>
      </c>
    </row>
    <row r="11" spans="1:29" s="496" customFormat="1" ht="36.75" customHeight="1">
      <c r="A11" s="534" t="s">
        <v>86</v>
      </c>
      <c r="B11" s="551" t="s">
        <v>328</v>
      </c>
      <c r="C11" s="522">
        <f>SUM(C12:C28)</f>
        <v>47236</v>
      </c>
      <c r="D11" s="522">
        <f t="shared" ref="D11:Z11" si="14">SUM(D12:D28)</f>
        <v>0</v>
      </c>
      <c r="E11" s="522">
        <f t="shared" si="14"/>
        <v>47236</v>
      </c>
      <c r="F11" s="522">
        <f t="shared" si="14"/>
        <v>5783</v>
      </c>
      <c r="G11" s="522">
        <f t="shared" si="14"/>
        <v>0</v>
      </c>
      <c r="H11" s="522">
        <f t="shared" si="14"/>
        <v>5783</v>
      </c>
      <c r="I11" s="522">
        <f t="shared" si="14"/>
        <v>22373</v>
      </c>
      <c r="J11" s="522">
        <f t="shared" si="14"/>
        <v>0</v>
      </c>
      <c r="K11" s="522">
        <f t="shared" si="14"/>
        <v>22373</v>
      </c>
      <c r="L11" s="522">
        <f t="shared" si="14"/>
        <v>19080</v>
      </c>
      <c r="M11" s="522">
        <f t="shared" si="14"/>
        <v>0</v>
      </c>
      <c r="N11" s="522">
        <f t="shared" si="14"/>
        <v>19080</v>
      </c>
      <c r="O11" s="522">
        <f t="shared" si="14"/>
        <v>1512</v>
      </c>
      <c r="P11" s="522">
        <f t="shared" si="14"/>
        <v>0</v>
      </c>
      <c r="Q11" s="522">
        <f t="shared" si="14"/>
        <v>1512</v>
      </c>
      <c r="R11" s="522">
        <f t="shared" si="14"/>
        <v>395</v>
      </c>
      <c r="S11" s="522">
        <f t="shared" si="14"/>
        <v>0</v>
      </c>
      <c r="T11" s="522">
        <f t="shared" si="14"/>
        <v>395</v>
      </c>
      <c r="U11" s="522">
        <f t="shared" si="14"/>
        <v>590</v>
      </c>
      <c r="V11" s="522">
        <f t="shared" si="14"/>
        <v>0</v>
      </c>
      <c r="W11" s="522">
        <f t="shared" si="14"/>
        <v>590</v>
      </c>
      <c r="X11" s="522">
        <f t="shared" si="14"/>
        <v>527</v>
      </c>
      <c r="Y11" s="522">
        <f t="shared" si="14"/>
        <v>0</v>
      </c>
      <c r="Z11" s="522">
        <f t="shared" si="14"/>
        <v>527</v>
      </c>
      <c r="AA11" s="530">
        <f t="shared" si="13"/>
        <v>3.2009484291641965</v>
      </c>
      <c r="AB11" s="530"/>
      <c r="AC11" s="530">
        <f t="shared" ref="AC11:AC29" si="15">Q11/E11*100</f>
        <v>3.2009484291641965</v>
      </c>
    </row>
    <row r="12" spans="1:29" s="496" customFormat="1" ht="38.25" customHeight="1">
      <c r="A12" s="564">
        <v>1</v>
      </c>
      <c r="B12" s="565" t="s">
        <v>329</v>
      </c>
      <c r="C12" s="566">
        <f>D12+E12</f>
        <v>1450</v>
      </c>
      <c r="D12" s="566"/>
      <c r="E12" s="566">
        <f t="shared" ref="E12:E25" si="16">H12+K12+N12</f>
        <v>1450</v>
      </c>
      <c r="F12" s="566">
        <f>G12+H12</f>
        <v>450</v>
      </c>
      <c r="G12" s="566"/>
      <c r="H12" s="566">
        <v>450</v>
      </c>
      <c r="I12" s="566">
        <f t="shared" ref="I12:I26" si="17">J12+K12</f>
        <v>0</v>
      </c>
      <c r="J12" s="566"/>
      <c r="K12" s="566"/>
      <c r="L12" s="566">
        <f>M12+N12</f>
        <v>1000</v>
      </c>
      <c r="M12" s="566"/>
      <c r="N12" s="566">
        <v>1000</v>
      </c>
      <c r="O12" s="566">
        <f>P12+Q12</f>
        <v>395</v>
      </c>
      <c r="P12" s="566">
        <f>S12+V12+Y12</f>
        <v>0</v>
      </c>
      <c r="Q12" s="566">
        <f>T12+W12+Z12</f>
        <v>395</v>
      </c>
      <c r="R12" s="566">
        <f>S12+T12</f>
        <v>395</v>
      </c>
      <c r="S12" s="566"/>
      <c r="T12" s="566">
        <v>395</v>
      </c>
      <c r="U12" s="566">
        <f>V12+W12</f>
        <v>0</v>
      </c>
      <c r="V12" s="566"/>
      <c r="W12" s="566"/>
      <c r="X12" s="566">
        <f>Y12+Z12</f>
        <v>0</v>
      </c>
      <c r="Y12" s="566"/>
      <c r="Z12" s="566">
        <v>0</v>
      </c>
      <c r="AA12" s="567"/>
      <c r="AB12" s="567"/>
      <c r="AC12" s="567"/>
    </row>
    <row r="13" spans="1:29" s="496" customFormat="1" ht="36.75" customHeight="1">
      <c r="A13" s="569">
        <v>2</v>
      </c>
      <c r="B13" s="570" t="s">
        <v>561</v>
      </c>
      <c r="C13" s="265">
        <f>D13+E13</f>
        <v>9806</v>
      </c>
      <c r="D13" s="265"/>
      <c r="E13" s="265">
        <f t="shared" si="16"/>
        <v>9806</v>
      </c>
      <c r="F13" s="265">
        <f t="shared" ref="F13:F28" si="18">G13+H13</f>
        <v>4625</v>
      </c>
      <c r="G13" s="265"/>
      <c r="H13" s="265">
        <f>356+2596+109+1564</f>
        <v>4625</v>
      </c>
      <c r="I13" s="265">
        <f t="shared" si="17"/>
        <v>2381</v>
      </c>
      <c r="J13" s="265"/>
      <c r="K13" s="265">
        <f>2381</f>
        <v>2381</v>
      </c>
      <c r="L13" s="265">
        <f>M13+N13</f>
        <v>2800</v>
      </c>
      <c r="M13" s="265"/>
      <c r="N13" s="265">
        <v>2800</v>
      </c>
      <c r="O13" s="265">
        <f t="shared" ref="O13:O28" si="19">P13+Q13</f>
        <v>0</v>
      </c>
      <c r="P13" s="265">
        <f t="shared" ref="P13:Q28" si="20">S13+V13+Y13</f>
        <v>0</v>
      </c>
      <c r="Q13" s="265">
        <f t="shared" si="20"/>
        <v>0</v>
      </c>
      <c r="R13" s="265">
        <f t="shared" ref="R13:R28" si="21">S13+T13</f>
        <v>0</v>
      </c>
      <c r="S13" s="265"/>
      <c r="T13" s="265">
        <v>0</v>
      </c>
      <c r="U13" s="265">
        <f t="shared" ref="U13:U28" si="22">V13+W13</f>
        <v>0</v>
      </c>
      <c r="V13" s="265"/>
      <c r="W13" s="265">
        <v>0</v>
      </c>
      <c r="X13" s="265">
        <f t="shared" ref="X13:X28" si="23">Y13+Z13</f>
        <v>0</v>
      </c>
      <c r="Y13" s="265"/>
      <c r="Z13" s="265">
        <v>0</v>
      </c>
      <c r="AA13" s="265">
        <f>AB13+AC13</f>
        <v>0</v>
      </c>
      <c r="AB13" s="265"/>
      <c r="AC13" s="265">
        <v>0</v>
      </c>
    </row>
    <row r="14" spans="1:29" s="496" customFormat="1" ht="36.75" customHeight="1">
      <c r="A14" s="569">
        <v>3</v>
      </c>
      <c r="B14" s="570" t="s">
        <v>330</v>
      </c>
      <c r="C14" s="265">
        <f t="shared" ref="C14:C28" si="24">D14+E14</f>
        <v>15228</v>
      </c>
      <c r="D14" s="265"/>
      <c r="E14" s="265">
        <f t="shared" si="16"/>
        <v>15228</v>
      </c>
      <c r="F14" s="265">
        <f t="shared" si="18"/>
        <v>508</v>
      </c>
      <c r="G14" s="265"/>
      <c r="H14" s="265">
        <v>508</v>
      </c>
      <c r="I14" s="265">
        <f t="shared" si="17"/>
        <v>9720</v>
      </c>
      <c r="J14" s="265"/>
      <c r="K14" s="265">
        <v>9720</v>
      </c>
      <c r="L14" s="265">
        <f t="shared" ref="L14:L19" si="25">M14+N14</f>
        <v>5000</v>
      </c>
      <c r="M14" s="265"/>
      <c r="N14" s="265">
        <v>5000</v>
      </c>
      <c r="O14" s="265">
        <f t="shared" si="19"/>
        <v>955</v>
      </c>
      <c r="P14" s="265">
        <f t="shared" si="20"/>
        <v>0</v>
      </c>
      <c r="Q14" s="265">
        <f t="shared" si="20"/>
        <v>955</v>
      </c>
      <c r="R14" s="265">
        <f t="shared" si="21"/>
        <v>0</v>
      </c>
      <c r="S14" s="265"/>
      <c r="T14" s="265"/>
      <c r="U14" s="265">
        <f t="shared" si="22"/>
        <v>590</v>
      </c>
      <c r="V14" s="265"/>
      <c r="W14" s="265">
        <v>590</v>
      </c>
      <c r="X14" s="265">
        <f t="shared" si="23"/>
        <v>365</v>
      </c>
      <c r="Y14" s="265"/>
      <c r="Z14" s="265">
        <v>365</v>
      </c>
      <c r="AA14" s="265">
        <f t="shared" ref="AA14:AA19" si="26">AB14+AC14</f>
        <v>0</v>
      </c>
      <c r="AB14" s="265"/>
      <c r="AC14" s="265"/>
    </row>
    <row r="15" spans="1:29" s="496" customFormat="1" ht="36.75" customHeight="1">
      <c r="A15" s="569">
        <v>4</v>
      </c>
      <c r="B15" s="570" t="s">
        <v>384</v>
      </c>
      <c r="C15" s="265">
        <f t="shared" si="24"/>
        <v>1268</v>
      </c>
      <c r="D15" s="265"/>
      <c r="E15" s="265">
        <f t="shared" si="16"/>
        <v>1268</v>
      </c>
      <c r="F15" s="265">
        <f t="shared" si="18"/>
        <v>200</v>
      </c>
      <c r="G15" s="265"/>
      <c r="H15" s="265">
        <v>200</v>
      </c>
      <c r="I15" s="265">
        <f t="shared" si="17"/>
        <v>1068</v>
      </c>
      <c r="J15" s="265"/>
      <c r="K15" s="265">
        <v>1068</v>
      </c>
      <c r="L15" s="265"/>
      <c r="M15" s="265"/>
      <c r="N15" s="265"/>
      <c r="O15" s="265">
        <f t="shared" si="19"/>
        <v>0</v>
      </c>
      <c r="P15" s="265">
        <f t="shared" si="20"/>
        <v>0</v>
      </c>
      <c r="Q15" s="265">
        <f t="shared" si="20"/>
        <v>0</v>
      </c>
      <c r="R15" s="265">
        <f t="shared" si="21"/>
        <v>0</v>
      </c>
      <c r="S15" s="265"/>
      <c r="T15" s="265"/>
      <c r="U15" s="265">
        <f t="shared" si="22"/>
        <v>0</v>
      </c>
      <c r="V15" s="265"/>
      <c r="W15" s="265"/>
      <c r="X15" s="265">
        <f t="shared" si="23"/>
        <v>0</v>
      </c>
      <c r="Y15" s="265"/>
      <c r="Z15" s="265"/>
      <c r="AA15" s="265"/>
      <c r="AB15" s="265"/>
      <c r="AC15" s="265"/>
    </row>
    <row r="16" spans="1:29" s="496" customFormat="1" ht="38.25" customHeight="1">
      <c r="A16" s="569">
        <v>5</v>
      </c>
      <c r="B16" s="570" t="s">
        <v>562</v>
      </c>
      <c r="C16" s="265">
        <f t="shared" si="24"/>
        <v>3813</v>
      </c>
      <c r="D16" s="265"/>
      <c r="E16" s="265">
        <f t="shared" si="16"/>
        <v>3813</v>
      </c>
      <c r="F16" s="265">
        <f t="shared" si="18"/>
        <v>0</v>
      </c>
      <c r="G16" s="265"/>
      <c r="H16" s="265"/>
      <c r="I16" s="265">
        <f t="shared" si="17"/>
        <v>1513</v>
      </c>
      <c r="J16" s="265"/>
      <c r="K16" s="265">
        <v>1513</v>
      </c>
      <c r="L16" s="265">
        <f t="shared" si="25"/>
        <v>2300</v>
      </c>
      <c r="M16" s="265"/>
      <c r="N16" s="265">
        <v>2300</v>
      </c>
      <c r="O16" s="265">
        <f t="shared" si="19"/>
        <v>0</v>
      </c>
      <c r="P16" s="265">
        <f t="shared" si="20"/>
        <v>0</v>
      </c>
      <c r="Q16" s="265">
        <f t="shared" si="20"/>
        <v>0</v>
      </c>
      <c r="R16" s="265">
        <f t="shared" si="21"/>
        <v>0</v>
      </c>
      <c r="S16" s="265"/>
      <c r="T16" s="265"/>
      <c r="U16" s="265">
        <f t="shared" si="22"/>
        <v>0</v>
      </c>
      <c r="V16" s="265"/>
      <c r="W16" s="265"/>
      <c r="X16" s="265">
        <f t="shared" si="23"/>
        <v>0</v>
      </c>
      <c r="Y16" s="265"/>
      <c r="Z16" s="265"/>
      <c r="AA16" s="265"/>
      <c r="AB16" s="265"/>
      <c r="AC16" s="265"/>
    </row>
    <row r="17" spans="1:29" s="496" customFormat="1" ht="38.25" customHeight="1">
      <c r="A17" s="569">
        <v>6</v>
      </c>
      <c r="B17" s="570" t="s">
        <v>563</v>
      </c>
      <c r="C17" s="265">
        <f t="shared" si="24"/>
        <v>1000</v>
      </c>
      <c r="D17" s="265"/>
      <c r="E17" s="265">
        <f t="shared" si="16"/>
        <v>1000</v>
      </c>
      <c r="F17" s="265">
        <f t="shared" si="18"/>
        <v>0</v>
      </c>
      <c r="G17" s="265"/>
      <c r="H17" s="265"/>
      <c r="I17" s="265">
        <f t="shared" si="17"/>
        <v>0</v>
      </c>
      <c r="J17" s="265"/>
      <c r="K17" s="265"/>
      <c r="L17" s="265">
        <f t="shared" si="25"/>
        <v>1000</v>
      </c>
      <c r="M17" s="265"/>
      <c r="N17" s="265">
        <v>1000</v>
      </c>
      <c r="O17" s="265">
        <f t="shared" si="19"/>
        <v>0</v>
      </c>
      <c r="P17" s="265">
        <f t="shared" si="20"/>
        <v>0</v>
      </c>
      <c r="Q17" s="265">
        <f t="shared" si="20"/>
        <v>0</v>
      </c>
      <c r="R17" s="265">
        <f t="shared" si="21"/>
        <v>0</v>
      </c>
      <c r="S17" s="265"/>
      <c r="T17" s="265"/>
      <c r="U17" s="265">
        <f t="shared" si="22"/>
        <v>0</v>
      </c>
      <c r="V17" s="265"/>
      <c r="W17" s="265"/>
      <c r="X17" s="265">
        <f t="shared" si="23"/>
        <v>0</v>
      </c>
      <c r="Y17" s="265"/>
      <c r="Z17" s="265"/>
      <c r="AA17" s="265"/>
      <c r="AB17" s="265"/>
      <c r="AC17" s="265"/>
    </row>
    <row r="18" spans="1:29" s="496" customFormat="1" ht="38.25" customHeight="1">
      <c r="A18" s="569">
        <v>7</v>
      </c>
      <c r="B18" s="570" t="s">
        <v>331</v>
      </c>
      <c r="C18" s="265">
        <f t="shared" si="24"/>
        <v>5136</v>
      </c>
      <c r="D18" s="265"/>
      <c r="E18" s="265">
        <f t="shared" si="16"/>
        <v>5136</v>
      </c>
      <c r="F18" s="265">
        <f t="shared" si="18"/>
        <v>0</v>
      </c>
      <c r="G18" s="265"/>
      <c r="H18" s="265"/>
      <c r="I18" s="265">
        <f t="shared" si="17"/>
        <v>5136</v>
      </c>
      <c r="J18" s="265"/>
      <c r="K18" s="265">
        <f>566+2992+244+1334</f>
        <v>5136</v>
      </c>
      <c r="L18" s="265">
        <f t="shared" si="25"/>
        <v>0</v>
      </c>
      <c r="M18" s="265"/>
      <c r="N18" s="265">
        <v>0</v>
      </c>
      <c r="O18" s="265">
        <f t="shared" si="19"/>
        <v>0</v>
      </c>
      <c r="P18" s="265">
        <f t="shared" si="20"/>
        <v>0</v>
      </c>
      <c r="Q18" s="265">
        <f t="shared" si="20"/>
        <v>0</v>
      </c>
      <c r="R18" s="265">
        <f t="shared" si="21"/>
        <v>0</v>
      </c>
      <c r="S18" s="265"/>
      <c r="T18" s="265"/>
      <c r="U18" s="265">
        <f t="shared" si="22"/>
        <v>0</v>
      </c>
      <c r="V18" s="265"/>
      <c r="W18" s="265"/>
      <c r="X18" s="265">
        <f t="shared" si="23"/>
        <v>0</v>
      </c>
      <c r="Y18" s="265"/>
      <c r="Z18" s="265">
        <v>0</v>
      </c>
      <c r="AA18" s="265">
        <f t="shared" si="26"/>
        <v>0</v>
      </c>
      <c r="AB18" s="265"/>
      <c r="AC18" s="265"/>
    </row>
    <row r="19" spans="1:29" s="496" customFormat="1" ht="38.25" customHeight="1">
      <c r="A19" s="569">
        <v>8</v>
      </c>
      <c r="B19" s="570" t="s">
        <v>461</v>
      </c>
      <c r="C19" s="265">
        <f t="shared" si="24"/>
        <v>4000</v>
      </c>
      <c r="D19" s="265"/>
      <c r="E19" s="265">
        <f t="shared" si="16"/>
        <v>4000</v>
      </c>
      <c r="F19" s="265">
        <f t="shared" si="18"/>
        <v>0</v>
      </c>
      <c r="G19" s="265"/>
      <c r="H19" s="265"/>
      <c r="I19" s="265">
        <f t="shared" si="17"/>
        <v>0</v>
      </c>
      <c r="J19" s="265"/>
      <c r="K19" s="265"/>
      <c r="L19" s="265">
        <f t="shared" si="25"/>
        <v>4000</v>
      </c>
      <c r="M19" s="265"/>
      <c r="N19" s="265">
        <v>4000</v>
      </c>
      <c r="O19" s="265">
        <f t="shared" si="19"/>
        <v>0</v>
      </c>
      <c r="P19" s="265">
        <f t="shared" si="20"/>
        <v>0</v>
      </c>
      <c r="Q19" s="265">
        <f t="shared" si="20"/>
        <v>0</v>
      </c>
      <c r="R19" s="265">
        <f t="shared" si="21"/>
        <v>0</v>
      </c>
      <c r="S19" s="265"/>
      <c r="T19" s="265"/>
      <c r="U19" s="265">
        <f t="shared" si="22"/>
        <v>0</v>
      </c>
      <c r="V19" s="265"/>
      <c r="W19" s="265"/>
      <c r="X19" s="265">
        <f t="shared" si="23"/>
        <v>0</v>
      </c>
      <c r="Y19" s="265"/>
      <c r="Z19" s="265"/>
      <c r="AA19" s="265">
        <f t="shared" si="26"/>
        <v>0</v>
      </c>
      <c r="AB19" s="265"/>
      <c r="AC19" s="265">
        <v>0</v>
      </c>
    </row>
    <row r="20" spans="1:29" s="496" customFormat="1" ht="36.75" customHeight="1">
      <c r="A20" s="569">
        <v>9</v>
      </c>
      <c r="B20" s="570" t="s">
        <v>462</v>
      </c>
      <c r="C20" s="265">
        <f t="shared" si="24"/>
        <v>660</v>
      </c>
      <c r="D20" s="265"/>
      <c r="E20" s="265">
        <f t="shared" si="16"/>
        <v>660</v>
      </c>
      <c r="F20" s="265">
        <f t="shared" si="18"/>
        <v>0</v>
      </c>
      <c r="G20" s="265"/>
      <c r="H20" s="265"/>
      <c r="I20" s="265">
        <f t="shared" si="17"/>
        <v>0</v>
      </c>
      <c r="J20" s="265"/>
      <c r="K20" s="265"/>
      <c r="L20" s="265">
        <f>M20+N20</f>
        <v>660</v>
      </c>
      <c r="M20" s="265"/>
      <c r="N20" s="265">
        <v>660</v>
      </c>
      <c r="O20" s="265">
        <f t="shared" si="19"/>
        <v>0</v>
      </c>
      <c r="P20" s="265">
        <f t="shared" si="20"/>
        <v>0</v>
      </c>
      <c r="Q20" s="265">
        <f t="shared" si="20"/>
        <v>0</v>
      </c>
      <c r="R20" s="265">
        <f t="shared" si="21"/>
        <v>0</v>
      </c>
      <c r="S20" s="265"/>
      <c r="T20" s="265"/>
      <c r="U20" s="265">
        <f t="shared" si="22"/>
        <v>0</v>
      </c>
      <c r="V20" s="265"/>
      <c r="W20" s="265"/>
      <c r="X20" s="265">
        <f t="shared" si="23"/>
        <v>0</v>
      </c>
      <c r="Y20" s="265"/>
      <c r="Z20" s="265"/>
      <c r="AA20" s="265">
        <v>0</v>
      </c>
      <c r="AB20" s="265"/>
      <c r="AC20" s="265">
        <v>0</v>
      </c>
    </row>
    <row r="21" spans="1:29" s="496" customFormat="1" ht="38.25" customHeight="1">
      <c r="A21" s="569">
        <v>10</v>
      </c>
      <c r="B21" s="570" t="s">
        <v>333</v>
      </c>
      <c r="C21" s="265">
        <f t="shared" si="24"/>
        <v>250</v>
      </c>
      <c r="D21" s="265"/>
      <c r="E21" s="265">
        <f t="shared" si="16"/>
        <v>250</v>
      </c>
      <c r="F21" s="265">
        <f t="shared" si="18"/>
        <v>0</v>
      </c>
      <c r="G21" s="265"/>
      <c r="H21" s="265"/>
      <c r="I21" s="265">
        <f t="shared" si="17"/>
        <v>0</v>
      </c>
      <c r="J21" s="265"/>
      <c r="K21" s="265"/>
      <c r="L21" s="265">
        <f t="shared" ref="L21:L22" si="27">M21+N21</f>
        <v>250</v>
      </c>
      <c r="M21" s="265"/>
      <c r="N21" s="265">
        <v>250</v>
      </c>
      <c r="O21" s="265">
        <f t="shared" si="19"/>
        <v>88</v>
      </c>
      <c r="P21" s="265">
        <f t="shared" si="20"/>
        <v>0</v>
      </c>
      <c r="Q21" s="265">
        <f t="shared" si="20"/>
        <v>88</v>
      </c>
      <c r="R21" s="265">
        <f t="shared" si="21"/>
        <v>0</v>
      </c>
      <c r="S21" s="265"/>
      <c r="T21" s="265"/>
      <c r="U21" s="265">
        <f t="shared" si="22"/>
        <v>0</v>
      </c>
      <c r="V21" s="265"/>
      <c r="W21" s="265"/>
      <c r="X21" s="265">
        <f t="shared" si="23"/>
        <v>88</v>
      </c>
      <c r="Y21" s="265"/>
      <c r="Z21" s="265">
        <v>88</v>
      </c>
      <c r="AA21" s="571"/>
      <c r="AB21" s="571"/>
      <c r="AC21" s="571"/>
    </row>
    <row r="22" spans="1:29" s="496" customFormat="1" ht="38.25" customHeight="1">
      <c r="A22" s="569">
        <v>11</v>
      </c>
      <c r="B22" s="570" t="s">
        <v>334</v>
      </c>
      <c r="C22" s="265">
        <f t="shared" si="24"/>
        <v>600</v>
      </c>
      <c r="D22" s="265"/>
      <c r="E22" s="265">
        <f t="shared" si="16"/>
        <v>600</v>
      </c>
      <c r="F22" s="265">
        <f t="shared" si="18"/>
        <v>0</v>
      </c>
      <c r="G22" s="265"/>
      <c r="H22" s="265"/>
      <c r="I22" s="265">
        <f t="shared" si="17"/>
        <v>0</v>
      </c>
      <c r="J22" s="265"/>
      <c r="K22" s="265"/>
      <c r="L22" s="265">
        <f t="shared" si="27"/>
        <v>600</v>
      </c>
      <c r="M22" s="265"/>
      <c r="N22" s="265">
        <v>600</v>
      </c>
      <c r="O22" s="265">
        <f t="shared" si="19"/>
        <v>74</v>
      </c>
      <c r="P22" s="265">
        <f t="shared" si="20"/>
        <v>0</v>
      </c>
      <c r="Q22" s="265">
        <f t="shared" si="20"/>
        <v>74</v>
      </c>
      <c r="R22" s="265">
        <f t="shared" si="21"/>
        <v>0</v>
      </c>
      <c r="S22" s="265"/>
      <c r="T22" s="265"/>
      <c r="U22" s="265">
        <f t="shared" si="22"/>
        <v>0</v>
      </c>
      <c r="V22" s="265"/>
      <c r="W22" s="265"/>
      <c r="X22" s="265">
        <f t="shared" si="23"/>
        <v>74</v>
      </c>
      <c r="Y22" s="265"/>
      <c r="Z22" s="265">
        <v>74</v>
      </c>
      <c r="AA22" s="571"/>
      <c r="AB22" s="571"/>
      <c r="AC22" s="571"/>
    </row>
    <row r="23" spans="1:29" s="496" customFormat="1" ht="38.25" customHeight="1">
      <c r="A23" s="569">
        <v>12</v>
      </c>
      <c r="B23" s="570" t="s">
        <v>463</v>
      </c>
      <c r="C23" s="265">
        <f t="shared" si="24"/>
        <v>500</v>
      </c>
      <c r="D23" s="265"/>
      <c r="E23" s="265">
        <f t="shared" si="16"/>
        <v>500</v>
      </c>
      <c r="F23" s="265">
        <f t="shared" si="18"/>
        <v>0</v>
      </c>
      <c r="G23" s="265"/>
      <c r="H23" s="265"/>
      <c r="I23" s="265">
        <f t="shared" si="17"/>
        <v>0</v>
      </c>
      <c r="J23" s="265"/>
      <c r="K23" s="265"/>
      <c r="L23" s="265">
        <f>M23+N23</f>
        <v>500</v>
      </c>
      <c r="M23" s="265"/>
      <c r="N23" s="265">
        <v>500</v>
      </c>
      <c r="O23" s="265">
        <f t="shared" si="19"/>
        <v>0</v>
      </c>
      <c r="P23" s="265">
        <f t="shared" si="20"/>
        <v>0</v>
      </c>
      <c r="Q23" s="265">
        <f t="shared" si="20"/>
        <v>0</v>
      </c>
      <c r="R23" s="265">
        <f t="shared" si="21"/>
        <v>0</v>
      </c>
      <c r="S23" s="265"/>
      <c r="T23" s="265"/>
      <c r="U23" s="265">
        <f t="shared" si="22"/>
        <v>0</v>
      </c>
      <c r="V23" s="265"/>
      <c r="W23" s="265"/>
      <c r="X23" s="265">
        <f t="shared" si="23"/>
        <v>0</v>
      </c>
      <c r="Y23" s="265"/>
      <c r="Z23" s="265"/>
      <c r="AA23" s="265">
        <v>0</v>
      </c>
      <c r="AB23" s="265"/>
      <c r="AC23" s="265">
        <v>0</v>
      </c>
    </row>
    <row r="24" spans="1:29" s="496" customFormat="1" ht="38.25" customHeight="1">
      <c r="A24" s="569">
        <v>13</v>
      </c>
      <c r="B24" s="570" t="s">
        <v>564</v>
      </c>
      <c r="C24" s="265">
        <f t="shared" si="24"/>
        <v>210</v>
      </c>
      <c r="D24" s="265"/>
      <c r="E24" s="265">
        <f t="shared" si="16"/>
        <v>210</v>
      </c>
      <c r="F24" s="265">
        <f t="shared" si="18"/>
        <v>0</v>
      </c>
      <c r="G24" s="265"/>
      <c r="H24" s="265"/>
      <c r="I24" s="265">
        <f t="shared" si="17"/>
        <v>0</v>
      </c>
      <c r="J24" s="265"/>
      <c r="K24" s="265"/>
      <c r="L24" s="265">
        <f>M24+N24</f>
        <v>210</v>
      </c>
      <c r="M24" s="265"/>
      <c r="N24" s="265">
        <v>210</v>
      </c>
      <c r="O24" s="265">
        <f t="shared" si="19"/>
        <v>0</v>
      </c>
      <c r="P24" s="265">
        <f t="shared" si="20"/>
        <v>0</v>
      </c>
      <c r="Q24" s="265">
        <f t="shared" si="20"/>
        <v>0</v>
      </c>
      <c r="R24" s="265">
        <f t="shared" si="21"/>
        <v>0</v>
      </c>
      <c r="S24" s="265"/>
      <c r="T24" s="265"/>
      <c r="U24" s="265">
        <f t="shared" si="22"/>
        <v>0</v>
      </c>
      <c r="V24" s="265"/>
      <c r="W24" s="265"/>
      <c r="X24" s="265">
        <f t="shared" si="23"/>
        <v>0</v>
      </c>
      <c r="Y24" s="265"/>
      <c r="Z24" s="265"/>
      <c r="AA24" s="265"/>
      <c r="AB24" s="265"/>
      <c r="AC24" s="265"/>
    </row>
    <row r="25" spans="1:29" s="496" customFormat="1" ht="38.25" customHeight="1">
      <c r="A25" s="569">
        <v>14</v>
      </c>
      <c r="B25" s="570" t="s">
        <v>565</v>
      </c>
      <c r="C25" s="265">
        <f t="shared" si="24"/>
        <v>500</v>
      </c>
      <c r="D25" s="265"/>
      <c r="E25" s="265">
        <f t="shared" si="16"/>
        <v>500</v>
      </c>
      <c r="F25" s="265">
        <f t="shared" si="18"/>
        <v>0</v>
      </c>
      <c r="G25" s="265"/>
      <c r="H25" s="265"/>
      <c r="I25" s="265">
        <f t="shared" si="17"/>
        <v>0</v>
      </c>
      <c r="J25" s="265"/>
      <c r="K25" s="265"/>
      <c r="L25" s="265">
        <f>M25+N25</f>
        <v>500</v>
      </c>
      <c r="M25" s="265"/>
      <c r="N25" s="265">
        <v>500</v>
      </c>
      <c r="O25" s="265">
        <f t="shared" si="19"/>
        <v>0</v>
      </c>
      <c r="P25" s="265">
        <f t="shared" si="20"/>
        <v>0</v>
      </c>
      <c r="Q25" s="265">
        <f t="shared" si="20"/>
        <v>0</v>
      </c>
      <c r="R25" s="265">
        <f t="shared" si="21"/>
        <v>0</v>
      </c>
      <c r="S25" s="265"/>
      <c r="T25" s="265"/>
      <c r="U25" s="265">
        <f t="shared" si="22"/>
        <v>0</v>
      </c>
      <c r="V25" s="265"/>
      <c r="W25" s="265"/>
      <c r="X25" s="265">
        <f t="shared" si="23"/>
        <v>0</v>
      </c>
      <c r="Y25" s="265"/>
      <c r="Z25" s="265"/>
      <c r="AA25" s="265"/>
      <c r="AB25" s="265"/>
      <c r="AC25" s="265"/>
    </row>
    <row r="26" spans="1:29" s="496" customFormat="1" ht="38.25" customHeight="1">
      <c r="A26" s="569">
        <v>15</v>
      </c>
      <c r="B26" s="570" t="s">
        <v>566</v>
      </c>
      <c r="C26" s="265">
        <f t="shared" si="24"/>
        <v>1495</v>
      </c>
      <c r="D26" s="265"/>
      <c r="E26" s="265">
        <f>H26+K26+N26</f>
        <v>1495</v>
      </c>
      <c r="F26" s="265">
        <f t="shared" si="18"/>
        <v>0</v>
      </c>
      <c r="G26" s="265"/>
      <c r="H26" s="265"/>
      <c r="I26" s="265">
        <f t="shared" si="17"/>
        <v>1235</v>
      </c>
      <c r="J26" s="265"/>
      <c r="K26" s="265">
        <v>1235</v>
      </c>
      <c r="L26" s="265">
        <f>M26+N26</f>
        <v>260</v>
      </c>
      <c r="M26" s="265"/>
      <c r="N26" s="265">
        <v>260</v>
      </c>
      <c r="O26" s="265">
        <f t="shared" si="19"/>
        <v>0</v>
      </c>
      <c r="P26" s="265">
        <f t="shared" si="20"/>
        <v>0</v>
      </c>
      <c r="Q26" s="265">
        <f t="shared" si="20"/>
        <v>0</v>
      </c>
      <c r="R26" s="265">
        <f t="shared" si="21"/>
        <v>0</v>
      </c>
      <c r="S26" s="265"/>
      <c r="T26" s="265"/>
      <c r="U26" s="265">
        <f t="shared" si="22"/>
        <v>0</v>
      </c>
      <c r="V26" s="265"/>
      <c r="W26" s="265"/>
      <c r="X26" s="265">
        <f t="shared" si="23"/>
        <v>0</v>
      </c>
      <c r="Y26" s="265"/>
      <c r="Z26" s="265">
        <v>0</v>
      </c>
      <c r="AA26" s="265">
        <v>0</v>
      </c>
      <c r="AB26" s="265"/>
      <c r="AC26" s="265">
        <v>0</v>
      </c>
    </row>
    <row r="27" spans="1:29" s="496" customFormat="1" ht="38.25" customHeight="1">
      <c r="A27" s="569">
        <v>16</v>
      </c>
      <c r="B27" s="570" t="s">
        <v>558</v>
      </c>
      <c r="C27" s="265">
        <f t="shared" si="24"/>
        <v>1250</v>
      </c>
      <c r="D27" s="265"/>
      <c r="E27" s="265">
        <f t="shared" ref="E27:E28" si="28">H27+K27+N27</f>
        <v>1250</v>
      </c>
      <c r="F27" s="265">
        <f t="shared" si="18"/>
        <v>0</v>
      </c>
      <c r="G27" s="265"/>
      <c r="H27" s="265"/>
      <c r="I27" s="265">
        <f>J27+K27</f>
        <v>1250</v>
      </c>
      <c r="J27" s="265"/>
      <c r="K27" s="265">
        <v>1250</v>
      </c>
      <c r="L27" s="265">
        <v>0</v>
      </c>
      <c r="M27" s="265"/>
      <c r="N27" s="265">
        <v>0</v>
      </c>
      <c r="O27" s="265">
        <f t="shared" si="19"/>
        <v>0</v>
      </c>
      <c r="P27" s="265">
        <f t="shared" si="20"/>
        <v>0</v>
      </c>
      <c r="Q27" s="265">
        <f t="shared" si="20"/>
        <v>0</v>
      </c>
      <c r="R27" s="265">
        <f t="shared" si="21"/>
        <v>0</v>
      </c>
      <c r="S27" s="265"/>
      <c r="T27" s="265"/>
      <c r="U27" s="265">
        <f t="shared" si="22"/>
        <v>0</v>
      </c>
      <c r="V27" s="265"/>
      <c r="W27" s="265"/>
      <c r="X27" s="265">
        <f t="shared" si="23"/>
        <v>0</v>
      </c>
      <c r="Y27" s="265"/>
      <c r="Z27" s="265"/>
      <c r="AA27" s="265"/>
      <c r="AB27" s="265"/>
      <c r="AC27" s="265"/>
    </row>
    <row r="28" spans="1:29" s="496" customFormat="1" ht="38.25" customHeight="1">
      <c r="A28" s="573">
        <v>17</v>
      </c>
      <c r="B28" s="574" t="s">
        <v>567</v>
      </c>
      <c r="C28" s="575">
        <f t="shared" si="24"/>
        <v>70</v>
      </c>
      <c r="D28" s="575"/>
      <c r="E28" s="575">
        <f t="shared" si="28"/>
        <v>70</v>
      </c>
      <c r="F28" s="575">
        <f t="shared" si="18"/>
        <v>0</v>
      </c>
      <c r="G28" s="575"/>
      <c r="H28" s="575"/>
      <c r="I28" s="575">
        <f>J28+K28</f>
        <v>70</v>
      </c>
      <c r="J28" s="575"/>
      <c r="K28" s="575">
        <v>70</v>
      </c>
      <c r="L28" s="575">
        <v>0</v>
      </c>
      <c r="M28" s="575"/>
      <c r="N28" s="575">
        <v>0</v>
      </c>
      <c r="O28" s="575">
        <f t="shared" si="19"/>
        <v>0</v>
      </c>
      <c r="P28" s="575">
        <f t="shared" si="20"/>
        <v>0</v>
      </c>
      <c r="Q28" s="575">
        <f t="shared" si="20"/>
        <v>0</v>
      </c>
      <c r="R28" s="575">
        <f t="shared" si="21"/>
        <v>0</v>
      </c>
      <c r="S28" s="575"/>
      <c r="T28" s="575"/>
      <c r="U28" s="575">
        <f t="shared" si="22"/>
        <v>0</v>
      </c>
      <c r="V28" s="575"/>
      <c r="W28" s="575"/>
      <c r="X28" s="575">
        <f t="shared" si="23"/>
        <v>0</v>
      </c>
      <c r="Y28" s="575"/>
      <c r="Z28" s="575"/>
      <c r="AA28" s="575"/>
      <c r="AB28" s="575"/>
      <c r="AC28" s="575"/>
    </row>
    <row r="29" spans="1:29" s="496" customFormat="1" ht="38.25" customHeight="1">
      <c r="A29" s="552" t="s">
        <v>71</v>
      </c>
      <c r="B29" s="553" t="s">
        <v>327</v>
      </c>
      <c r="C29" s="554">
        <f>SUM(C30:C40)</f>
        <v>127993</v>
      </c>
      <c r="D29" s="554">
        <f t="shared" ref="D29:Z29" si="29">SUM(D30:D40)</f>
        <v>0</v>
      </c>
      <c r="E29" s="554">
        <f t="shared" si="29"/>
        <v>127993</v>
      </c>
      <c r="F29" s="554">
        <f t="shared" si="29"/>
        <v>17959</v>
      </c>
      <c r="G29" s="554">
        <f t="shared" si="29"/>
        <v>0</v>
      </c>
      <c r="H29" s="554">
        <f t="shared" si="29"/>
        <v>17959</v>
      </c>
      <c r="I29" s="554">
        <f t="shared" si="29"/>
        <v>85475</v>
      </c>
      <c r="J29" s="554">
        <f t="shared" si="29"/>
        <v>0</v>
      </c>
      <c r="K29" s="554">
        <f t="shared" si="29"/>
        <v>85475</v>
      </c>
      <c r="L29" s="554">
        <f t="shared" si="29"/>
        <v>24559</v>
      </c>
      <c r="M29" s="554">
        <f t="shared" si="29"/>
        <v>0</v>
      </c>
      <c r="N29" s="554">
        <f t="shared" si="29"/>
        <v>24559</v>
      </c>
      <c r="O29" s="554">
        <f t="shared" si="29"/>
        <v>7841.51</v>
      </c>
      <c r="P29" s="554">
        <f t="shared" si="29"/>
        <v>0</v>
      </c>
      <c r="Q29" s="554">
        <f t="shared" si="29"/>
        <v>7841.51</v>
      </c>
      <c r="R29" s="554">
        <f t="shared" si="29"/>
        <v>2747.6099999999997</v>
      </c>
      <c r="S29" s="554">
        <f t="shared" si="29"/>
        <v>0</v>
      </c>
      <c r="T29" s="554">
        <f t="shared" si="29"/>
        <v>2747.6099999999997</v>
      </c>
      <c r="U29" s="554">
        <f t="shared" si="29"/>
        <v>4013</v>
      </c>
      <c r="V29" s="554">
        <f t="shared" si="29"/>
        <v>0</v>
      </c>
      <c r="W29" s="554">
        <f t="shared" si="29"/>
        <v>4013</v>
      </c>
      <c r="X29" s="554">
        <f t="shared" si="29"/>
        <v>1080.9000000000001</v>
      </c>
      <c r="Y29" s="554">
        <f t="shared" si="29"/>
        <v>0</v>
      </c>
      <c r="Z29" s="554">
        <f t="shared" si="29"/>
        <v>1080.9000000000001</v>
      </c>
      <c r="AA29" s="554">
        <f t="shared" si="13"/>
        <v>6.1265147312743666</v>
      </c>
      <c r="AB29" s="554"/>
      <c r="AC29" s="555">
        <f t="shared" si="15"/>
        <v>6.1265147312743666</v>
      </c>
    </row>
    <row r="30" spans="1:29" ht="38.25" customHeight="1">
      <c r="A30" s="564">
        <v>1</v>
      </c>
      <c r="B30" s="565" t="s">
        <v>311</v>
      </c>
      <c r="C30" s="566">
        <f>+D30+E30</f>
        <v>1738</v>
      </c>
      <c r="D30" s="566">
        <f>G30+J30+M30</f>
        <v>0</v>
      </c>
      <c r="E30" s="566">
        <f>H30+N30+K30</f>
        <v>1738</v>
      </c>
      <c r="F30" s="566">
        <f t="shared" ref="F30:F40" si="30">G30+H30</f>
        <v>928</v>
      </c>
      <c r="G30" s="566"/>
      <c r="H30" s="566">
        <v>928</v>
      </c>
      <c r="I30" s="566">
        <f>SUM(J30:K30)</f>
        <v>810</v>
      </c>
      <c r="J30" s="566"/>
      <c r="K30" s="566">
        <v>810</v>
      </c>
      <c r="L30" s="566">
        <f>SUM(M30:N30)</f>
        <v>0</v>
      </c>
      <c r="M30" s="566"/>
      <c r="N30" s="566">
        <v>0</v>
      </c>
      <c r="O30" s="566">
        <f>P30+Q30</f>
        <v>0</v>
      </c>
      <c r="P30" s="566">
        <f t="shared" ref="P30:Q40" si="31">S30+V30+Y30</f>
        <v>0</v>
      </c>
      <c r="Q30" s="566">
        <f t="shared" si="31"/>
        <v>0</v>
      </c>
      <c r="R30" s="566">
        <f t="shared" ref="R30:R40" si="32">S30+T30</f>
        <v>0</v>
      </c>
      <c r="S30" s="566"/>
      <c r="T30" s="566">
        <v>0</v>
      </c>
      <c r="U30" s="566">
        <f t="shared" ref="U30:U40" si="33">V30+W30</f>
        <v>0</v>
      </c>
      <c r="V30" s="566"/>
      <c r="W30" s="566">
        <v>0</v>
      </c>
      <c r="X30" s="566">
        <f t="shared" ref="X30:X40" si="34">Y30+Z30</f>
        <v>0</v>
      </c>
      <c r="Y30" s="566"/>
      <c r="Z30" s="566">
        <v>0</v>
      </c>
      <c r="AA30" s="567">
        <f t="shared" si="13"/>
        <v>0</v>
      </c>
      <c r="AB30" s="567"/>
      <c r="AC30" s="568"/>
    </row>
    <row r="31" spans="1:29" s="494" customFormat="1" ht="38.25" customHeight="1">
      <c r="A31" s="569">
        <f>A30+1</f>
        <v>2</v>
      </c>
      <c r="B31" s="570" t="s">
        <v>312</v>
      </c>
      <c r="C31" s="265">
        <f t="shared" ref="C31:C40" si="35">+D31+E31</f>
        <v>4076</v>
      </c>
      <c r="D31" s="265">
        <f t="shared" ref="D31:D40" si="36">G31+J31+M31</f>
        <v>0</v>
      </c>
      <c r="E31" s="265">
        <f t="shared" ref="E31:E40" si="37">H31+N31+K31</f>
        <v>4076</v>
      </c>
      <c r="F31" s="265">
        <f t="shared" si="30"/>
        <v>877</v>
      </c>
      <c r="G31" s="265"/>
      <c r="H31" s="265">
        <v>877</v>
      </c>
      <c r="I31" s="265">
        <f t="shared" ref="I31:I40" si="38">SUM(J31:K31)</f>
        <v>2836</v>
      </c>
      <c r="J31" s="265"/>
      <c r="K31" s="265">
        <v>2836</v>
      </c>
      <c r="L31" s="265">
        <f t="shared" ref="L31:L40" si="39">SUM(M31:N31)</f>
        <v>363</v>
      </c>
      <c r="M31" s="265"/>
      <c r="N31" s="265">
        <v>363</v>
      </c>
      <c r="O31" s="265">
        <f t="shared" ref="O31:O40" si="40">P31+Q31</f>
        <v>401</v>
      </c>
      <c r="P31" s="265">
        <f t="shared" si="31"/>
        <v>0</v>
      </c>
      <c r="Q31" s="265">
        <f t="shared" si="31"/>
        <v>401</v>
      </c>
      <c r="R31" s="265">
        <f t="shared" si="32"/>
        <v>363</v>
      </c>
      <c r="S31" s="265"/>
      <c r="T31" s="265">
        <v>363</v>
      </c>
      <c r="U31" s="265">
        <f t="shared" si="33"/>
        <v>30</v>
      </c>
      <c r="V31" s="265"/>
      <c r="W31" s="265">
        <v>30</v>
      </c>
      <c r="X31" s="265">
        <f t="shared" si="34"/>
        <v>8</v>
      </c>
      <c r="Y31" s="265"/>
      <c r="Z31" s="265">
        <v>8</v>
      </c>
      <c r="AA31" s="571">
        <f t="shared" si="13"/>
        <v>9.8380765456329726</v>
      </c>
      <c r="AB31" s="571"/>
      <c r="AC31" s="572">
        <f>Q31/E31*100</f>
        <v>9.8380765456329726</v>
      </c>
    </row>
    <row r="32" spans="1:29" s="494" customFormat="1" ht="38.25" customHeight="1">
      <c r="A32" s="569">
        <v>3</v>
      </c>
      <c r="B32" s="570" t="s">
        <v>313</v>
      </c>
      <c r="C32" s="265">
        <f t="shared" si="35"/>
        <v>3801</v>
      </c>
      <c r="D32" s="265">
        <f t="shared" si="36"/>
        <v>0</v>
      </c>
      <c r="E32" s="265">
        <f t="shared" si="37"/>
        <v>3801</v>
      </c>
      <c r="F32" s="265">
        <f t="shared" si="30"/>
        <v>965</v>
      </c>
      <c r="G32" s="265"/>
      <c r="H32" s="265">
        <v>965</v>
      </c>
      <c r="I32" s="265">
        <f t="shared" si="38"/>
        <v>2836</v>
      </c>
      <c r="J32" s="265"/>
      <c r="K32" s="265">
        <v>2836</v>
      </c>
      <c r="L32" s="265">
        <f t="shared" si="39"/>
        <v>0</v>
      </c>
      <c r="M32" s="265"/>
      <c r="N32" s="265">
        <v>0</v>
      </c>
      <c r="O32" s="265">
        <f t="shared" si="40"/>
        <v>2.2000000000000002</v>
      </c>
      <c r="P32" s="265">
        <f t="shared" si="31"/>
        <v>0</v>
      </c>
      <c r="Q32" s="265">
        <f t="shared" si="31"/>
        <v>2.2000000000000002</v>
      </c>
      <c r="R32" s="265">
        <f t="shared" si="32"/>
        <v>2.2000000000000002</v>
      </c>
      <c r="S32" s="265"/>
      <c r="T32" s="265">
        <v>2.2000000000000002</v>
      </c>
      <c r="U32" s="265">
        <f t="shared" si="33"/>
        <v>0</v>
      </c>
      <c r="V32" s="265"/>
      <c r="W32" s="265">
        <v>0</v>
      </c>
      <c r="X32" s="265">
        <f t="shared" si="34"/>
        <v>0</v>
      </c>
      <c r="Y32" s="265"/>
      <c r="Z32" s="265">
        <v>0</v>
      </c>
      <c r="AA32" s="571">
        <f t="shared" si="13"/>
        <v>5.787950539331755E-2</v>
      </c>
      <c r="AB32" s="571"/>
      <c r="AC32" s="572"/>
    </row>
    <row r="33" spans="1:29" s="499" customFormat="1" ht="38.25" customHeight="1">
      <c r="A33" s="569">
        <v>4</v>
      </c>
      <c r="B33" s="570" t="s">
        <v>314</v>
      </c>
      <c r="C33" s="265">
        <f t="shared" si="35"/>
        <v>10419</v>
      </c>
      <c r="D33" s="265">
        <f t="shared" si="36"/>
        <v>0</v>
      </c>
      <c r="E33" s="265">
        <f t="shared" si="37"/>
        <v>10419</v>
      </c>
      <c r="F33" s="265">
        <f t="shared" si="30"/>
        <v>1304</v>
      </c>
      <c r="G33" s="265"/>
      <c r="H33" s="265">
        <v>1304</v>
      </c>
      <c r="I33" s="265">
        <f t="shared" si="38"/>
        <v>7292</v>
      </c>
      <c r="J33" s="265"/>
      <c r="K33" s="265">
        <v>7292</v>
      </c>
      <c r="L33" s="265">
        <f t="shared" si="39"/>
        <v>1823</v>
      </c>
      <c r="M33" s="265"/>
      <c r="N33" s="265">
        <v>1823</v>
      </c>
      <c r="O33" s="265">
        <f t="shared" si="40"/>
        <v>635</v>
      </c>
      <c r="P33" s="265">
        <f t="shared" si="31"/>
        <v>0</v>
      </c>
      <c r="Q33" s="265">
        <f t="shared" si="31"/>
        <v>635</v>
      </c>
      <c r="R33" s="265">
        <f t="shared" si="32"/>
        <v>19</v>
      </c>
      <c r="S33" s="265"/>
      <c r="T33" s="265">
        <v>19</v>
      </c>
      <c r="U33" s="265">
        <f t="shared" si="33"/>
        <v>616</v>
      </c>
      <c r="V33" s="265"/>
      <c r="W33" s="265">
        <v>616</v>
      </c>
      <c r="X33" s="265">
        <f t="shared" si="34"/>
        <v>0</v>
      </c>
      <c r="Y33" s="265"/>
      <c r="Z33" s="265">
        <v>0</v>
      </c>
      <c r="AA33" s="571">
        <f t="shared" si="13"/>
        <v>6.0946348018043963</v>
      </c>
      <c r="AB33" s="571"/>
      <c r="AC33" s="572">
        <f t="shared" ref="AC33:AC40" si="41">Q33/E33*100</f>
        <v>6.0946348018043963</v>
      </c>
    </row>
    <row r="34" spans="1:29" s="494" customFormat="1" ht="38.25" customHeight="1">
      <c r="A34" s="569">
        <v>5</v>
      </c>
      <c r="B34" s="570" t="s">
        <v>317</v>
      </c>
      <c r="C34" s="265">
        <f t="shared" si="35"/>
        <v>28539</v>
      </c>
      <c r="D34" s="265">
        <f t="shared" si="36"/>
        <v>0</v>
      </c>
      <c r="E34" s="265">
        <f t="shared" si="37"/>
        <v>28539</v>
      </c>
      <c r="F34" s="265">
        <f t="shared" si="30"/>
        <v>1977</v>
      </c>
      <c r="G34" s="265"/>
      <c r="H34" s="265">
        <v>1977</v>
      </c>
      <c r="I34" s="265">
        <f t="shared" si="38"/>
        <v>14583</v>
      </c>
      <c r="J34" s="265"/>
      <c r="K34" s="265">
        <v>14583</v>
      </c>
      <c r="L34" s="265">
        <f t="shared" si="39"/>
        <v>11979</v>
      </c>
      <c r="M34" s="265"/>
      <c r="N34" s="265">
        <v>11979</v>
      </c>
      <c r="O34" s="265">
        <f t="shared" si="40"/>
        <v>2285</v>
      </c>
      <c r="P34" s="265">
        <f t="shared" si="31"/>
        <v>0</v>
      </c>
      <c r="Q34" s="265">
        <f t="shared" si="31"/>
        <v>2285</v>
      </c>
      <c r="R34" s="265">
        <f t="shared" si="32"/>
        <v>1360</v>
      </c>
      <c r="S34" s="265"/>
      <c r="T34" s="265">
        <v>1360</v>
      </c>
      <c r="U34" s="265">
        <f t="shared" si="33"/>
        <v>889</v>
      </c>
      <c r="V34" s="265"/>
      <c r="W34" s="265">
        <v>889</v>
      </c>
      <c r="X34" s="265">
        <f t="shared" si="34"/>
        <v>36</v>
      </c>
      <c r="Y34" s="265"/>
      <c r="Z34" s="265">
        <v>36</v>
      </c>
      <c r="AA34" s="571">
        <f t="shared" si="13"/>
        <v>8.0065874767861516</v>
      </c>
      <c r="AB34" s="571"/>
      <c r="AC34" s="572">
        <f t="shared" si="41"/>
        <v>8.0065874767861516</v>
      </c>
    </row>
    <row r="35" spans="1:29" s="494" customFormat="1" ht="38.25" customHeight="1">
      <c r="A35" s="569">
        <f t="shared" ref="A35" si="42">A34+1</f>
        <v>6</v>
      </c>
      <c r="B35" s="570" t="s">
        <v>318</v>
      </c>
      <c r="C35" s="265">
        <f t="shared" si="35"/>
        <v>9913</v>
      </c>
      <c r="D35" s="265">
        <f t="shared" si="36"/>
        <v>0</v>
      </c>
      <c r="E35" s="265">
        <f t="shared" si="37"/>
        <v>9913</v>
      </c>
      <c r="F35" s="265">
        <f t="shared" si="30"/>
        <v>1816</v>
      </c>
      <c r="G35" s="265"/>
      <c r="H35" s="265">
        <v>1816</v>
      </c>
      <c r="I35" s="265">
        <f t="shared" si="38"/>
        <v>5670</v>
      </c>
      <c r="J35" s="265"/>
      <c r="K35" s="265">
        <v>5670</v>
      </c>
      <c r="L35" s="265">
        <f t="shared" si="39"/>
        <v>2427</v>
      </c>
      <c r="M35" s="265"/>
      <c r="N35" s="265">
        <v>2427</v>
      </c>
      <c r="O35" s="265">
        <f t="shared" si="40"/>
        <v>711</v>
      </c>
      <c r="P35" s="265">
        <f t="shared" si="31"/>
        <v>0</v>
      </c>
      <c r="Q35" s="265">
        <f t="shared" si="31"/>
        <v>711</v>
      </c>
      <c r="R35" s="265">
        <f t="shared" si="32"/>
        <v>453</v>
      </c>
      <c r="S35" s="265"/>
      <c r="T35" s="265">
        <v>453</v>
      </c>
      <c r="U35" s="265">
        <f t="shared" si="33"/>
        <v>179</v>
      </c>
      <c r="V35" s="265"/>
      <c r="W35" s="265">
        <v>179</v>
      </c>
      <c r="X35" s="265">
        <f t="shared" si="34"/>
        <v>79</v>
      </c>
      <c r="Y35" s="265"/>
      <c r="Z35" s="265">
        <v>79</v>
      </c>
      <c r="AA35" s="571">
        <f t="shared" si="13"/>
        <v>7.1723998789468375</v>
      </c>
      <c r="AB35" s="571"/>
      <c r="AC35" s="572">
        <f t="shared" si="41"/>
        <v>7.1723998789468375</v>
      </c>
    </row>
    <row r="36" spans="1:29" s="494" customFormat="1" ht="38.25" customHeight="1">
      <c r="A36" s="569">
        <v>7</v>
      </c>
      <c r="B36" s="570" t="s">
        <v>319</v>
      </c>
      <c r="C36" s="265">
        <f t="shared" si="35"/>
        <v>21733</v>
      </c>
      <c r="D36" s="265">
        <f t="shared" si="36"/>
        <v>0</v>
      </c>
      <c r="E36" s="265">
        <f t="shared" si="37"/>
        <v>21733</v>
      </c>
      <c r="F36" s="265">
        <f t="shared" si="30"/>
        <v>2869</v>
      </c>
      <c r="G36" s="265"/>
      <c r="H36" s="265">
        <v>2869</v>
      </c>
      <c r="I36" s="265">
        <f t="shared" si="38"/>
        <v>15799</v>
      </c>
      <c r="J36" s="265"/>
      <c r="K36" s="265">
        <v>15799</v>
      </c>
      <c r="L36" s="265">
        <f t="shared" si="39"/>
        <v>3065</v>
      </c>
      <c r="M36" s="265"/>
      <c r="N36" s="265">
        <v>3065</v>
      </c>
      <c r="O36" s="265">
        <f t="shared" si="40"/>
        <v>627.30999999999995</v>
      </c>
      <c r="P36" s="265">
        <f t="shared" si="31"/>
        <v>0</v>
      </c>
      <c r="Q36" s="265">
        <f t="shared" si="31"/>
        <v>627.30999999999995</v>
      </c>
      <c r="R36" s="265">
        <f t="shared" si="32"/>
        <v>3.41</v>
      </c>
      <c r="S36" s="265"/>
      <c r="T36" s="265">
        <v>3.41</v>
      </c>
      <c r="U36" s="265">
        <f t="shared" si="33"/>
        <v>0</v>
      </c>
      <c r="V36" s="265"/>
      <c r="W36" s="265">
        <v>0</v>
      </c>
      <c r="X36" s="265">
        <f t="shared" si="34"/>
        <v>623.9</v>
      </c>
      <c r="Y36" s="265"/>
      <c r="Z36" s="265">
        <v>623.9</v>
      </c>
      <c r="AA36" s="571">
        <f t="shared" si="13"/>
        <v>2.8864399760732526</v>
      </c>
      <c r="AB36" s="571"/>
      <c r="AC36" s="572">
        <f t="shared" si="41"/>
        <v>2.8864399760732526</v>
      </c>
    </row>
    <row r="37" spans="1:29" s="494" customFormat="1" ht="38.25" customHeight="1">
      <c r="A37" s="569">
        <f t="shared" ref="A37" si="43">A36+1</f>
        <v>8</v>
      </c>
      <c r="B37" s="570" t="s">
        <v>315</v>
      </c>
      <c r="C37" s="265">
        <f t="shared" si="35"/>
        <v>4715</v>
      </c>
      <c r="D37" s="265">
        <f t="shared" si="36"/>
        <v>0</v>
      </c>
      <c r="E37" s="265">
        <f t="shared" si="37"/>
        <v>4715</v>
      </c>
      <c r="F37" s="265">
        <f t="shared" si="30"/>
        <v>1042</v>
      </c>
      <c r="G37" s="265"/>
      <c r="H37" s="265">
        <v>1042</v>
      </c>
      <c r="I37" s="265">
        <f t="shared" si="38"/>
        <v>3646</v>
      </c>
      <c r="J37" s="265"/>
      <c r="K37" s="265">
        <v>3646</v>
      </c>
      <c r="L37" s="265">
        <f t="shared" si="39"/>
        <v>27</v>
      </c>
      <c r="M37" s="265"/>
      <c r="N37" s="265">
        <v>27</v>
      </c>
      <c r="O37" s="265">
        <f t="shared" si="40"/>
        <v>495</v>
      </c>
      <c r="P37" s="265">
        <f t="shared" si="31"/>
        <v>0</v>
      </c>
      <c r="Q37" s="265">
        <f t="shared" si="31"/>
        <v>495</v>
      </c>
      <c r="R37" s="265">
        <f t="shared" si="32"/>
        <v>375</v>
      </c>
      <c r="S37" s="265"/>
      <c r="T37" s="265">
        <v>375</v>
      </c>
      <c r="U37" s="265">
        <f t="shared" si="33"/>
        <v>120</v>
      </c>
      <c r="V37" s="265"/>
      <c r="W37" s="265">
        <v>120</v>
      </c>
      <c r="X37" s="265">
        <f t="shared" si="34"/>
        <v>0</v>
      </c>
      <c r="Y37" s="265"/>
      <c r="Z37" s="265">
        <v>0</v>
      </c>
      <c r="AA37" s="571">
        <f t="shared" si="13"/>
        <v>10.498409331919406</v>
      </c>
      <c r="AB37" s="571"/>
      <c r="AC37" s="572">
        <f t="shared" si="41"/>
        <v>10.498409331919406</v>
      </c>
    </row>
    <row r="38" spans="1:29" s="494" customFormat="1" ht="38.25" customHeight="1">
      <c r="A38" s="569">
        <v>9</v>
      </c>
      <c r="B38" s="570" t="s">
        <v>316</v>
      </c>
      <c r="C38" s="265">
        <f t="shared" si="35"/>
        <v>14605</v>
      </c>
      <c r="D38" s="265">
        <f t="shared" si="36"/>
        <v>0</v>
      </c>
      <c r="E38" s="265">
        <f t="shared" si="37"/>
        <v>14605</v>
      </c>
      <c r="F38" s="265">
        <f t="shared" si="30"/>
        <v>1978</v>
      </c>
      <c r="G38" s="265"/>
      <c r="H38" s="265">
        <v>1978</v>
      </c>
      <c r="I38" s="265">
        <f t="shared" si="38"/>
        <v>12558</v>
      </c>
      <c r="J38" s="265"/>
      <c r="K38" s="265">
        <v>12558</v>
      </c>
      <c r="L38" s="265">
        <f t="shared" si="39"/>
        <v>69</v>
      </c>
      <c r="M38" s="265"/>
      <c r="N38" s="265">
        <v>69</v>
      </c>
      <c r="O38" s="265">
        <f t="shared" si="40"/>
        <v>0</v>
      </c>
      <c r="P38" s="265">
        <f t="shared" si="31"/>
        <v>0</v>
      </c>
      <c r="Q38" s="265">
        <f t="shared" si="31"/>
        <v>0</v>
      </c>
      <c r="R38" s="265">
        <f t="shared" si="32"/>
        <v>0</v>
      </c>
      <c r="S38" s="265"/>
      <c r="T38" s="265">
        <v>0</v>
      </c>
      <c r="U38" s="265">
        <f t="shared" si="33"/>
        <v>0</v>
      </c>
      <c r="V38" s="265"/>
      <c r="W38" s="265">
        <v>0</v>
      </c>
      <c r="X38" s="265">
        <f t="shared" si="34"/>
        <v>0</v>
      </c>
      <c r="Y38" s="265"/>
      <c r="Z38" s="265">
        <v>0</v>
      </c>
      <c r="AA38" s="571">
        <f t="shared" si="13"/>
        <v>0</v>
      </c>
      <c r="AB38" s="571"/>
      <c r="AC38" s="572">
        <f t="shared" si="41"/>
        <v>0</v>
      </c>
    </row>
    <row r="39" spans="1:29" s="494" customFormat="1" ht="38.25" customHeight="1">
      <c r="A39" s="569">
        <f t="shared" ref="A39" si="44">A38+1</f>
        <v>10</v>
      </c>
      <c r="B39" s="570" t="s">
        <v>320</v>
      </c>
      <c r="C39" s="265">
        <f t="shared" si="35"/>
        <v>14026</v>
      </c>
      <c r="D39" s="265">
        <f t="shared" si="36"/>
        <v>0</v>
      </c>
      <c r="E39" s="265">
        <f t="shared" si="37"/>
        <v>14026</v>
      </c>
      <c r="F39" s="265">
        <f t="shared" si="30"/>
        <v>2764</v>
      </c>
      <c r="G39" s="265"/>
      <c r="H39" s="265">
        <v>2764</v>
      </c>
      <c r="I39" s="265">
        <f t="shared" si="38"/>
        <v>7697</v>
      </c>
      <c r="J39" s="265"/>
      <c r="K39" s="265">
        <v>7697</v>
      </c>
      <c r="L39" s="265">
        <f t="shared" si="39"/>
        <v>3565</v>
      </c>
      <c r="M39" s="265"/>
      <c r="N39" s="265">
        <v>3565</v>
      </c>
      <c r="O39" s="265">
        <f t="shared" si="40"/>
        <v>2635</v>
      </c>
      <c r="P39" s="265">
        <f t="shared" si="31"/>
        <v>0</v>
      </c>
      <c r="Q39" s="265">
        <f t="shared" si="31"/>
        <v>2635</v>
      </c>
      <c r="R39" s="265">
        <f t="shared" si="32"/>
        <v>122</v>
      </c>
      <c r="S39" s="265"/>
      <c r="T39" s="265">
        <v>122</v>
      </c>
      <c r="U39" s="265">
        <f t="shared" si="33"/>
        <v>2179</v>
      </c>
      <c r="V39" s="265"/>
      <c r="W39" s="265">
        <v>2179</v>
      </c>
      <c r="X39" s="265">
        <f t="shared" si="34"/>
        <v>334</v>
      </c>
      <c r="Y39" s="265"/>
      <c r="Z39" s="265">
        <v>334</v>
      </c>
      <c r="AA39" s="571">
        <f t="shared" si="13"/>
        <v>18.78653928418651</v>
      </c>
      <c r="AB39" s="571"/>
      <c r="AC39" s="572">
        <f t="shared" si="41"/>
        <v>18.78653928418651</v>
      </c>
    </row>
    <row r="40" spans="1:29" s="494" customFormat="1" ht="38.25" customHeight="1">
      <c r="A40" s="573">
        <v>11</v>
      </c>
      <c r="B40" s="574" t="s">
        <v>321</v>
      </c>
      <c r="C40" s="575">
        <f t="shared" si="35"/>
        <v>14428</v>
      </c>
      <c r="D40" s="575">
        <f t="shared" si="36"/>
        <v>0</v>
      </c>
      <c r="E40" s="575">
        <f t="shared" si="37"/>
        <v>14428</v>
      </c>
      <c r="F40" s="575">
        <f t="shared" si="30"/>
        <v>1439</v>
      </c>
      <c r="G40" s="575"/>
      <c r="H40" s="575">
        <v>1439</v>
      </c>
      <c r="I40" s="575">
        <f t="shared" si="38"/>
        <v>11748</v>
      </c>
      <c r="J40" s="575"/>
      <c r="K40" s="575">
        <v>11748</v>
      </c>
      <c r="L40" s="575">
        <f t="shared" si="39"/>
        <v>1241</v>
      </c>
      <c r="M40" s="575"/>
      <c r="N40" s="575">
        <v>1241</v>
      </c>
      <c r="O40" s="575">
        <f t="shared" si="40"/>
        <v>50</v>
      </c>
      <c r="P40" s="575">
        <f t="shared" si="31"/>
        <v>0</v>
      </c>
      <c r="Q40" s="575">
        <f t="shared" si="31"/>
        <v>50</v>
      </c>
      <c r="R40" s="575">
        <f t="shared" si="32"/>
        <v>50</v>
      </c>
      <c r="S40" s="575"/>
      <c r="T40" s="575">
        <v>50</v>
      </c>
      <c r="U40" s="575">
        <f t="shared" si="33"/>
        <v>0</v>
      </c>
      <c r="V40" s="575"/>
      <c r="W40" s="575">
        <v>0</v>
      </c>
      <c r="X40" s="575">
        <f t="shared" si="34"/>
        <v>0</v>
      </c>
      <c r="Y40" s="575"/>
      <c r="Z40" s="575">
        <v>0</v>
      </c>
      <c r="AA40" s="576">
        <f t="shared" si="13"/>
        <v>0.34654837815359024</v>
      </c>
      <c r="AB40" s="576"/>
      <c r="AC40" s="577">
        <f t="shared" si="41"/>
        <v>0.34654837815359024</v>
      </c>
    </row>
    <row r="41" spans="1:29" s="494" customFormat="1" ht="18.75">
      <c r="A41" s="503"/>
      <c r="B41" s="546"/>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row>
    <row r="42" spans="1:29" ht="18.75">
      <c r="A42" s="861"/>
      <c r="B42" s="861"/>
      <c r="C42" s="861"/>
      <c r="D42" s="861"/>
      <c r="E42" s="861"/>
      <c r="F42" s="861"/>
      <c r="G42" s="861"/>
      <c r="H42" s="861"/>
      <c r="I42" s="861"/>
      <c r="J42" s="861"/>
      <c r="K42" s="861"/>
      <c r="L42" s="861"/>
      <c r="M42" s="861"/>
      <c r="N42" s="861"/>
      <c r="O42" s="861"/>
      <c r="P42" s="861"/>
      <c r="Q42" s="861"/>
      <c r="R42" s="861"/>
      <c r="S42" s="861"/>
      <c r="T42" s="861"/>
      <c r="U42" s="861"/>
      <c r="V42" s="861"/>
      <c r="W42" s="861"/>
      <c r="X42" s="861"/>
      <c r="Y42" s="861"/>
      <c r="Z42" s="861"/>
      <c r="AA42" s="861"/>
      <c r="AB42" s="861"/>
      <c r="AC42" s="861"/>
    </row>
    <row r="43" spans="1:29" ht="18.75">
      <c r="A43" s="503"/>
      <c r="B43" s="546"/>
      <c r="C43" s="546"/>
      <c r="D43" s="546"/>
      <c r="E43" s="546"/>
      <c r="F43" s="546"/>
      <c r="G43" s="546"/>
      <c r="H43" s="546"/>
      <c r="I43" s="546"/>
      <c r="J43" s="546"/>
      <c r="K43" s="546"/>
      <c r="L43" s="546"/>
      <c r="M43" s="546"/>
      <c r="N43" s="546"/>
      <c r="O43" s="546"/>
      <c r="P43" s="546"/>
      <c r="Q43" s="546"/>
      <c r="R43" s="546"/>
      <c r="S43" s="546"/>
      <c r="T43" s="546"/>
      <c r="U43" s="546"/>
      <c r="V43" s="546"/>
      <c r="W43" s="546"/>
      <c r="X43" s="546"/>
      <c r="Y43" s="546"/>
      <c r="Z43" s="546"/>
      <c r="AA43" s="546"/>
      <c r="AB43" s="546"/>
      <c r="AC43" s="546"/>
    </row>
    <row r="44" spans="1:29" ht="18.75">
      <c r="A44" s="503"/>
      <c r="B44" s="546"/>
      <c r="C44" s="546"/>
      <c r="D44" s="546"/>
      <c r="E44" s="546"/>
      <c r="F44" s="546"/>
      <c r="G44" s="546"/>
      <c r="H44" s="546"/>
      <c r="I44" s="546"/>
      <c r="J44" s="546"/>
      <c r="K44" s="546"/>
      <c r="L44" s="546"/>
      <c r="M44" s="546"/>
      <c r="N44" s="546"/>
      <c r="O44" s="546"/>
      <c r="P44" s="546"/>
      <c r="Q44" s="546"/>
      <c r="R44" s="546"/>
      <c r="S44" s="546"/>
      <c r="T44" s="546"/>
      <c r="U44" s="546"/>
      <c r="V44" s="546"/>
      <c r="W44" s="546"/>
      <c r="X44" s="546"/>
      <c r="Y44" s="546"/>
      <c r="Z44" s="546"/>
      <c r="AA44" s="546"/>
      <c r="AB44" s="546"/>
      <c r="AC44" s="546"/>
    </row>
    <row r="45" spans="1:29" ht="18.75">
      <c r="A45" s="503"/>
      <c r="B45" s="546"/>
      <c r="C45" s="546"/>
      <c r="D45" s="546"/>
      <c r="E45" s="546"/>
      <c r="F45" s="546"/>
      <c r="G45" s="546"/>
      <c r="H45" s="546"/>
      <c r="I45" s="546"/>
      <c r="J45" s="546"/>
      <c r="K45" s="546"/>
      <c r="L45" s="546"/>
      <c r="M45" s="546"/>
      <c r="N45" s="546"/>
      <c r="O45" s="546"/>
      <c r="P45" s="546"/>
      <c r="Q45" s="546"/>
      <c r="R45" s="546"/>
      <c r="S45" s="546"/>
      <c r="T45" s="546"/>
      <c r="U45" s="546"/>
      <c r="V45" s="546"/>
      <c r="W45" s="546"/>
      <c r="X45" s="546"/>
      <c r="Y45" s="546"/>
      <c r="Z45" s="546"/>
      <c r="AA45" s="546"/>
      <c r="AB45" s="546"/>
      <c r="AC45" s="546"/>
    </row>
    <row r="46" spans="1:29" ht="18.75">
      <c r="A46" s="503"/>
      <c r="B46" s="546"/>
      <c r="C46" s="546"/>
      <c r="D46" s="546"/>
      <c r="E46" s="546"/>
      <c r="F46" s="546"/>
      <c r="G46" s="546"/>
      <c r="H46" s="546"/>
      <c r="I46" s="546"/>
      <c r="J46" s="546"/>
      <c r="K46" s="546"/>
      <c r="L46" s="546"/>
      <c r="M46" s="546"/>
      <c r="N46" s="546"/>
      <c r="O46" s="546"/>
      <c r="P46" s="546"/>
      <c r="Q46" s="546"/>
      <c r="R46" s="546"/>
      <c r="S46" s="546"/>
      <c r="T46" s="546"/>
      <c r="U46" s="546"/>
      <c r="V46" s="546"/>
      <c r="W46" s="546"/>
      <c r="X46" s="546"/>
      <c r="Y46" s="546"/>
      <c r="Z46" s="546"/>
      <c r="AA46" s="546"/>
      <c r="AB46" s="546"/>
      <c r="AC46" s="546"/>
    </row>
    <row r="47" spans="1:29" ht="18.75">
      <c r="A47" s="503"/>
      <c r="B47" s="546"/>
      <c r="C47" s="546"/>
      <c r="D47" s="546"/>
      <c r="E47" s="546"/>
      <c r="F47" s="546"/>
      <c r="G47" s="546"/>
      <c r="H47" s="546"/>
      <c r="I47" s="546"/>
      <c r="J47" s="546"/>
      <c r="K47" s="546"/>
      <c r="L47" s="546"/>
      <c r="M47" s="546"/>
      <c r="N47" s="546"/>
      <c r="O47" s="546"/>
      <c r="P47" s="546"/>
      <c r="Q47" s="546"/>
      <c r="R47" s="546"/>
      <c r="S47" s="546"/>
      <c r="T47" s="546"/>
      <c r="U47" s="546"/>
      <c r="V47" s="546"/>
      <c r="W47" s="546"/>
      <c r="X47" s="546"/>
      <c r="Y47" s="546"/>
      <c r="Z47" s="546"/>
      <c r="AA47" s="546"/>
      <c r="AB47" s="546"/>
      <c r="AC47" s="546"/>
    </row>
    <row r="48" spans="1:29" ht="18.75">
      <c r="A48" s="503"/>
      <c r="B48" s="546"/>
      <c r="C48" s="546"/>
      <c r="D48" s="546"/>
      <c r="E48" s="546"/>
      <c r="F48" s="546"/>
      <c r="G48" s="546"/>
      <c r="H48" s="546"/>
      <c r="I48" s="546"/>
      <c r="J48" s="546"/>
      <c r="K48" s="546"/>
      <c r="L48" s="546"/>
      <c r="M48" s="546"/>
      <c r="N48" s="546"/>
      <c r="O48" s="546"/>
      <c r="P48" s="546"/>
      <c r="Q48" s="546"/>
      <c r="R48" s="546"/>
      <c r="S48" s="546"/>
      <c r="T48" s="546"/>
      <c r="U48" s="546"/>
      <c r="V48" s="546"/>
      <c r="W48" s="546"/>
      <c r="X48" s="546"/>
      <c r="Y48" s="546"/>
      <c r="Z48" s="546"/>
      <c r="AA48" s="546"/>
      <c r="AB48" s="546"/>
      <c r="AC48" s="546"/>
    </row>
    <row r="49" spans="1:29" ht="18.75">
      <c r="A49" s="503"/>
      <c r="B49" s="546"/>
      <c r="C49" s="546"/>
      <c r="D49" s="546"/>
      <c r="E49" s="546"/>
      <c r="F49" s="546"/>
      <c r="G49" s="546"/>
      <c r="H49" s="546"/>
      <c r="I49" s="546"/>
      <c r="J49" s="546"/>
      <c r="K49" s="546"/>
      <c r="L49" s="546"/>
      <c r="M49" s="546"/>
      <c r="N49" s="546"/>
      <c r="O49" s="546"/>
      <c r="P49" s="546"/>
      <c r="Q49" s="546"/>
      <c r="R49" s="546"/>
      <c r="S49" s="546"/>
      <c r="T49" s="546"/>
      <c r="U49" s="546"/>
      <c r="V49" s="546"/>
      <c r="W49" s="546"/>
      <c r="X49" s="546"/>
      <c r="Y49" s="546"/>
      <c r="Z49" s="546"/>
      <c r="AA49" s="546"/>
      <c r="AB49" s="546"/>
      <c r="AC49" s="546"/>
    </row>
    <row r="50" spans="1:29" ht="18.75">
      <c r="A50" s="503"/>
      <c r="B50" s="546"/>
      <c r="C50" s="546"/>
      <c r="D50" s="546"/>
      <c r="E50" s="546"/>
      <c r="F50" s="546"/>
      <c r="G50" s="546"/>
      <c r="H50" s="546"/>
      <c r="I50" s="546"/>
      <c r="J50" s="546"/>
      <c r="K50" s="546"/>
      <c r="L50" s="546"/>
      <c r="M50" s="546"/>
      <c r="N50" s="546"/>
      <c r="O50" s="546"/>
      <c r="P50" s="546"/>
      <c r="Q50" s="546"/>
      <c r="R50" s="546"/>
      <c r="S50" s="546"/>
      <c r="T50" s="546"/>
      <c r="U50" s="546"/>
      <c r="V50" s="546"/>
      <c r="W50" s="546"/>
      <c r="X50" s="546"/>
      <c r="Y50" s="546"/>
      <c r="Z50" s="546"/>
      <c r="AA50" s="546"/>
      <c r="AB50" s="546"/>
      <c r="AC50" s="546"/>
    </row>
  </sheetData>
  <mergeCells count="25">
    <mergeCell ref="C6:N6"/>
    <mergeCell ref="O6:Z6"/>
    <mergeCell ref="A42:AC42"/>
    <mergeCell ref="A10:B10"/>
    <mergeCell ref="AA6:AC6"/>
    <mergeCell ref="R7:T7"/>
    <mergeCell ref="X7:Z7"/>
    <mergeCell ref="AA7:AA8"/>
    <mergeCell ref="P7:Q7"/>
    <mergeCell ref="A1:D1"/>
    <mergeCell ref="A4:AC4"/>
    <mergeCell ref="AB7:AC7"/>
    <mergeCell ref="Z1:AC1"/>
    <mergeCell ref="Y2:AC2"/>
    <mergeCell ref="A3:AC3"/>
    <mergeCell ref="AB5:AC5"/>
    <mergeCell ref="I7:K7"/>
    <mergeCell ref="U7:W7"/>
    <mergeCell ref="C7:C8"/>
    <mergeCell ref="D7:E7"/>
    <mergeCell ref="F7:H7"/>
    <mergeCell ref="L7:N7"/>
    <mergeCell ref="O7:O8"/>
    <mergeCell ref="A6:A8"/>
    <mergeCell ref="B6:B8"/>
  </mergeCells>
  <printOptions horizontalCentered="1"/>
  <pageMargins left="0.22" right="0.28000000000000003" top="0.47" bottom="0.33" header="0.2" footer="0.16"/>
  <pageSetup paperSize="9" scale="32" fitToHeight="5" orientation="landscape" r:id="rId1"/>
  <headerFooter alignWithMargins="0">
    <oddFooter>&amp;C&amp;".VnTime,Italic"&amp;8</oddFooter>
  </headerFooter>
  <ignoredErrors>
    <ignoredError sqref="F29 O29:AC29"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election sqref="A1:B1"/>
    </sheetView>
  </sheetViews>
  <sheetFormatPr defaultRowHeight="15"/>
  <cols>
    <col min="1" max="1" width="9" style="645"/>
    <col min="2" max="2" width="50.375" style="645" customWidth="1"/>
    <col min="3" max="3" width="19.375" style="645" customWidth="1"/>
    <col min="4" max="4" width="18.125" style="645" customWidth="1"/>
    <col min="5" max="5" width="17.25" style="645" customWidth="1"/>
    <col min="6" max="6" width="10.125" style="645" customWidth="1"/>
    <col min="7" max="9" width="9" style="645"/>
    <col min="10" max="10" width="18.25" style="645" customWidth="1"/>
    <col min="11" max="16384" width="9" style="645"/>
  </cols>
  <sheetData>
    <row r="1" spans="1:10" ht="15.75">
      <c r="A1" s="862" t="str">
        <f>+'PL6142 (HCSN)'!A1:D1</f>
        <v>HỘI NHÂN DÂN TỈNH BÌNH PHƯỚC</v>
      </c>
      <c r="B1" s="862"/>
      <c r="F1" s="646" t="s">
        <v>580</v>
      </c>
    </row>
    <row r="2" spans="1:10" ht="15.75">
      <c r="A2" s="647"/>
      <c r="B2" s="647"/>
      <c r="F2" s="648"/>
    </row>
    <row r="4" spans="1:10" ht="24" customHeight="1">
      <c r="A4" s="863" t="s">
        <v>581</v>
      </c>
      <c r="B4" s="863"/>
      <c r="C4" s="863"/>
      <c r="D4" s="863"/>
      <c r="E4" s="863"/>
      <c r="F4" s="863"/>
    </row>
    <row r="5" spans="1:10" ht="24" customHeight="1">
      <c r="A5" s="864" t="str">
        <f>+'PL6142 (HCSN)'!A4:AC4</f>
        <v>(Kèm theo Nghị quyết số:         /NQ-HĐND ngày      tháng  12  năm 2023 của Hội đồng nhân dân tỉnh)</v>
      </c>
      <c r="B5" s="864"/>
      <c r="C5" s="864"/>
      <c r="D5" s="864"/>
      <c r="E5" s="864"/>
      <c r="F5" s="864"/>
    </row>
    <row r="6" spans="1:10" ht="26.25" customHeight="1">
      <c r="E6" s="865" t="s">
        <v>582</v>
      </c>
      <c r="F6" s="865"/>
    </row>
    <row r="7" spans="1:10" ht="35.25" customHeight="1">
      <c r="A7" s="649" t="s">
        <v>583</v>
      </c>
      <c r="B7" s="649" t="s">
        <v>584</v>
      </c>
      <c r="C7" s="649" t="s">
        <v>585</v>
      </c>
      <c r="D7" s="649" t="s">
        <v>586</v>
      </c>
      <c r="E7" s="649" t="s">
        <v>587</v>
      </c>
      <c r="F7" s="649" t="s">
        <v>588</v>
      </c>
    </row>
    <row r="8" spans="1:10" ht="21" customHeight="1">
      <c r="A8" s="650"/>
      <c r="B8" s="649" t="s">
        <v>589</v>
      </c>
      <c r="C8" s="651">
        <v>210619720325</v>
      </c>
      <c r="D8" s="651">
        <v>199763419483</v>
      </c>
      <c r="E8" s="651">
        <v>10856300842</v>
      </c>
      <c r="F8" s="652">
        <v>0.95</v>
      </c>
      <c r="J8" s="653"/>
    </row>
    <row r="9" spans="1:10" ht="21" customHeight="1">
      <c r="A9" s="649" t="s">
        <v>1</v>
      </c>
      <c r="B9" s="654" t="s">
        <v>590</v>
      </c>
      <c r="C9" s="651">
        <v>18505430264</v>
      </c>
      <c r="D9" s="651">
        <v>17099657664</v>
      </c>
      <c r="E9" s="651">
        <v>1405772600</v>
      </c>
      <c r="F9" s="652">
        <v>0.92</v>
      </c>
      <c r="J9" s="653"/>
    </row>
    <row r="10" spans="1:10" ht="21" customHeight="1">
      <c r="A10" s="655">
        <v>1</v>
      </c>
      <c r="B10" s="656" t="s">
        <v>591</v>
      </c>
      <c r="C10" s="657">
        <v>1296320465</v>
      </c>
      <c r="D10" s="657">
        <v>587324838</v>
      </c>
      <c r="E10" s="658">
        <v>708995627</v>
      </c>
      <c r="F10" s="659">
        <v>0.45</v>
      </c>
    </row>
    <row r="11" spans="1:10" ht="21" customHeight="1">
      <c r="A11" s="660">
        <v>2</v>
      </c>
      <c r="B11" s="661" t="s">
        <v>592</v>
      </c>
      <c r="C11" s="662">
        <v>9135850793</v>
      </c>
      <c r="D11" s="662">
        <v>8506409120</v>
      </c>
      <c r="E11" s="662">
        <v>629441673</v>
      </c>
      <c r="F11" s="663">
        <v>0.93</v>
      </c>
    </row>
    <row r="12" spans="1:10" ht="21" customHeight="1">
      <c r="A12" s="660">
        <v>3</v>
      </c>
      <c r="B12" s="661" t="s">
        <v>593</v>
      </c>
      <c r="C12" s="662">
        <v>2224800</v>
      </c>
      <c r="D12" s="662">
        <v>2224800</v>
      </c>
      <c r="E12" s="664" t="s">
        <v>217</v>
      </c>
      <c r="F12" s="663">
        <v>1</v>
      </c>
    </row>
    <row r="13" spans="1:10" ht="21" customHeight="1">
      <c r="A13" s="660">
        <v>4</v>
      </c>
      <c r="B13" s="661" t="s">
        <v>594</v>
      </c>
      <c r="C13" s="662">
        <v>181381552</v>
      </c>
      <c r="D13" s="662">
        <v>181381552</v>
      </c>
      <c r="E13" s="664" t="s">
        <v>217</v>
      </c>
      <c r="F13" s="663">
        <v>1</v>
      </c>
    </row>
    <row r="14" spans="1:10" ht="21" customHeight="1">
      <c r="A14" s="660">
        <v>5</v>
      </c>
      <c r="B14" s="665" t="s">
        <v>72</v>
      </c>
      <c r="C14" s="666">
        <v>6000000</v>
      </c>
      <c r="D14" s="662">
        <v>6000000</v>
      </c>
      <c r="E14" s="662" t="s">
        <v>217</v>
      </c>
      <c r="F14" s="663">
        <v>1</v>
      </c>
    </row>
    <row r="15" spans="1:10" ht="21" customHeight="1">
      <c r="A15" s="667">
        <v>6</v>
      </c>
      <c r="B15" s="668" t="s">
        <v>595</v>
      </c>
      <c r="C15" s="669">
        <v>7883652654</v>
      </c>
      <c r="D15" s="669">
        <v>7816317354</v>
      </c>
      <c r="E15" s="670">
        <v>67335300</v>
      </c>
      <c r="F15" s="671">
        <v>0.99</v>
      </c>
    </row>
    <row r="16" spans="1:10" ht="21" customHeight="1">
      <c r="A16" s="649" t="s">
        <v>2</v>
      </c>
      <c r="B16" s="654" t="s">
        <v>596</v>
      </c>
      <c r="C16" s="651">
        <v>192114290061</v>
      </c>
      <c r="D16" s="651">
        <v>182663761819</v>
      </c>
      <c r="E16" s="651">
        <v>9450528242</v>
      </c>
      <c r="F16" s="652">
        <v>0.95</v>
      </c>
    </row>
    <row r="17" spans="1:6" ht="21" customHeight="1">
      <c r="A17" s="649" t="s">
        <v>86</v>
      </c>
      <c r="B17" s="654" t="s">
        <v>597</v>
      </c>
      <c r="C17" s="651">
        <v>183010511225</v>
      </c>
      <c r="D17" s="651">
        <v>178670054958</v>
      </c>
      <c r="E17" s="651">
        <v>4340456267</v>
      </c>
      <c r="F17" s="652">
        <v>0.98</v>
      </c>
    </row>
    <row r="18" spans="1:6" ht="27" customHeight="1">
      <c r="A18" s="655">
        <v>1</v>
      </c>
      <c r="B18" s="672" t="s">
        <v>598</v>
      </c>
      <c r="C18" s="657">
        <v>586001241</v>
      </c>
      <c r="D18" s="657">
        <v>586001241</v>
      </c>
      <c r="E18" s="673" t="s">
        <v>217</v>
      </c>
      <c r="F18" s="659">
        <v>1</v>
      </c>
    </row>
    <row r="19" spans="1:6" ht="21" customHeight="1">
      <c r="A19" s="660">
        <v>2</v>
      </c>
      <c r="B19" s="665" t="s">
        <v>599</v>
      </c>
      <c r="C19" s="666">
        <v>143328760106</v>
      </c>
      <c r="D19" s="662">
        <v>139107760106</v>
      </c>
      <c r="E19" s="662">
        <v>4221000000</v>
      </c>
      <c r="F19" s="663">
        <v>0.97</v>
      </c>
    </row>
    <row r="20" spans="1:6" ht="21" customHeight="1">
      <c r="A20" s="660">
        <v>3</v>
      </c>
      <c r="B20" s="665" t="s">
        <v>600</v>
      </c>
      <c r="C20" s="666">
        <v>18483996177</v>
      </c>
      <c r="D20" s="662">
        <v>18364539910</v>
      </c>
      <c r="E20" s="662">
        <v>119456267</v>
      </c>
      <c r="F20" s="663">
        <v>0.99</v>
      </c>
    </row>
    <row r="21" spans="1:6" ht="21" customHeight="1">
      <c r="A21" s="667">
        <v>4</v>
      </c>
      <c r="B21" s="668" t="s">
        <v>601</v>
      </c>
      <c r="C21" s="669">
        <v>20611753702</v>
      </c>
      <c r="D21" s="670">
        <v>20611753702</v>
      </c>
      <c r="E21" s="674" t="s">
        <v>217</v>
      </c>
      <c r="F21" s="671">
        <v>1</v>
      </c>
    </row>
    <row r="22" spans="1:6" ht="21" customHeight="1">
      <c r="A22" s="649" t="s">
        <v>71</v>
      </c>
      <c r="B22" s="654" t="s">
        <v>602</v>
      </c>
      <c r="C22" s="651">
        <v>9103778836</v>
      </c>
      <c r="D22" s="651">
        <v>3993706861</v>
      </c>
      <c r="E22" s="651">
        <v>5110071975</v>
      </c>
      <c r="F22" s="652">
        <v>0.44</v>
      </c>
    </row>
    <row r="23" spans="1:6" ht="27" customHeight="1">
      <c r="A23" s="655">
        <v>1</v>
      </c>
      <c r="B23" s="672" t="s">
        <v>598</v>
      </c>
      <c r="C23" s="658">
        <v>2663328532</v>
      </c>
      <c r="D23" s="658">
        <v>1326605532</v>
      </c>
      <c r="E23" s="658">
        <v>1336723000</v>
      </c>
      <c r="F23" s="659">
        <v>0.5</v>
      </c>
    </row>
    <row r="24" spans="1:6" ht="27" customHeight="1">
      <c r="A24" s="660">
        <v>2</v>
      </c>
      <c r="B24" s="665" t="s">
        <v>599</v>
      </c>
      <c r="C24" s="662">
        <v>3716800000</v>
      </c>
      <c r="D24" s="664" t="s">
        <v>217</v>
      </c>
      <c r="E24" s="662">
        <v>3716800000</v>
      </c>
      <c r="F24" s="663">
        <v>0</v>
      </c>
    </row>
    <row r="25" spans="1:6" ht="27" customHeight="1">
      <c r="A25" s="667">
        <v>3</v>
      </c>
      <c r="B25" s="668" t="s">
        <v>603</v>
      </c>
      <c r="C25" s="670">
        <v>2723650304</v>
      </c>
      <c r="D25" s="670">
        <v>2667101329</v>
      </c>
      <c r="E25" s="670">
        <v>56548975</v>
      </c>
      <c r="F25" s="671">
        <v>0.98</v>
      </c>
    </row>
  </sheetData>
  <mergeCells count="4">
    <mergeCell ref="A1:B1"/>
    <mergeCell ref="A4:F4"/>
    <mergeCell ref="A5:F5"/>
    <mergeCell ref="E6:F6"/>
  </mergeCells>
  <pageMargins left="0.7" right="0.45" top="0.4" bottom="0.41"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tabSelected="1" zoomScaleNormal="100" workbookViewId="0">
      <selection activeCell="D16" sqref="D16"/>
    </sheetView>
  </sheetViews>
  <sheetFormatPr defaultRowHeight="15.75"/>
  <cols>
    <col min="1" max="1" width="9" style="675"/>
    <col min="2" max="2" width="37" style="675" customWidth="1"/>
    <col min="3" max="3" width="11.875" style="675" bestFit="1" customWidth="1"/>
    <col min="4" max="4" width="9.875" style="675" bestFit="1" customWidth="1"/>
    <col min="5" max="5" width="11.375" style="675" customWidth="1"/>
    <col min="6" max="6" width="9" style="675"/>
    <col min="7" max="7" width="11.375" style="675" customWidth="1"/>
    <col min="8" max="8" width="12.75" style="675" bestFit="1" customWidth="1"/>
    <col min="9" max="10" width="8.875" style="675" bestFit="1" customWidth="1"/>
    <col min="11" max="11" width="9" style="675"/>
    <col min="12" max="12" width="8.625" style="675" bestFit="1" customWidth="1"/>
    <col min="13" max="16384" width="9" style="675"/>
  </cols>
  <sheetData>
    <row r="1" spans="1:12">
      <c r="A1" s="868" t="str">
        <f>+'Biểu số 01'!A1:B1</f>
        <v>HỘI NHÂN DÂN TỈNH BÌNH PHƯỚC</v>
      </c>
      <c r="B1" s="868"/>
      <c r="F1" s="869" t="s">
        <v>604</v>
      </c>
      <c r="G1" s="869"/>
    </row>
    <row r="2" spans="1:12">
      <c r="A2" s="676"/>
    </row>
    <row r="4" spans="1:12" ht="21" customHeight="1">
      <c r="A4" s="870" t="s">
        <v>605</v>
      </c>
      <c r="B4" s="870"/>
      <c r="C4" s="870"/>
      <c r="D4" s="870"/>
      <c r="E4" s="870"/>
      <c r="F4" s="870"/>
      <c r="G4" s="870"/>
    </row>
    <row r="5" spans="1:12" ht="20.25" customHeight="1">
      <c r="A5" s="871" t="str">
        <f>+'Biểu số 01'!A5:F5</f>
        <v>(Kèm theo Nghị quyết số:         /NQ-HĐND ngày      tháng  12  năm 2023 của Hội đồng nhân dân tỉnh)</v>
      </c>
      <c r="B5" s="871"/>
      <c r="C5" s="871"/>
      <c r="D5" s="871"/>
      <c r="E5" s="871"/>
      <c r="F5" s="871"/>
      <c r="G5" s="871"/>
    </row>
    <row r="6" spans="1:12" ht="20.25" customHeight="1">
      <c r="E6" s="872" t="s">
        <v>441</v>
      </c>
      <c r="F6" s="872"/>
      <c r="G6" s="872"/>
    </row>
    <row r="7" spans="1:12" ht="38.25" customHeight="1">
      <c r="A7" s="866" t="s">
        <v>18</v>
      </c>
      <c r="B7" s="866" t="s">
        <v>178</v>
      </c>
      <c r="C7" s="866" t="s">
        <v>606</v>
      </c>
      <c r="D7" s="866" t="s">
        <v>607</v>
      </c>
      <c r="E7" s="866" t="s">
        <v>608</v>
      </c>
      <c r="F7" s="866"/>
      <c r="G7" s="866" t="s">
        <v>623</v>
      </c>
    </row>
    <row r="8" spans="1:12" ht="31.5">
      <c r="A8" s="866"/>
      <c r="B8" s="866"/>
      <c r="C8" s="866"/>
      <c r="D8" s="866"/>
      <c r="E8" s="677" t="s">
        <v>609</v>
      </c>
      <c r="F8" s="677" t="s">
        <v>610</v>
      </c>
      <c r="G8" s="866"/>
    </row>
    <row r="9" spans="1:12">
      <c r="A9" s="678" t="s">
        <v>1</v>
      </c>
      <c r="B9" s="678" t="s">
        <v>2</v>
      </c>
      <c r="C9" s="678">
        <v>1</v>
      </c>
      <c r="D9" s="678">
        <v>2</v>
      </c>
      <c r="E9" s="678" t="s">
        <v>213</v>
      </c>
      <c r="F9" s="678" t="s">
        <v>611</v>
      </c>
      <c r="G9" s="678">
        <v>5</v>
      </c>
    </row>
    <row r="10" spans="1:12" ht="110.25">
      <c r="A10" s="679">
        <v>1</v>
      </c>
      <c r="B10" s="680" t="s">
        <v>612</v>
      </c>
      <c r="C10" s="681">
        <v>2046142.6695419997</v>
      </c>
      <c r="D10" s="681">
        <v>3391067.2832709998</v>
      </c>
      <c r="E10" s="681">
        <f>D10-C10</f>
        <v>1344924.6137290001</v>
      </c>
      <c r="F10" s="682">
        <f>E10/C10</f>
        <v>0.65729757447951687</v>
      </c>
      <c r="G10" s="679"/>
      <c r="H10" s="683"/>
      <c r="I10" s="684"/>
      <c r="J10" s="684"/>
    </row>
    <row r="11" spans="1:12" ht="47.25">
      <c r="A11" s="685">
        <v>2</v>
      </c>
      <c r="B11" s="686" t="s">
        <v>613</v>
      </c>
      <c r="C11" s="687">
        <v>25108.201529999998</v>
      </c>
      <c r="D11" s="687">
        <v>6240</v>
      </c>
      <c r="E11" s="687">
        <f t="shared" ref="E11:E17" si="0">D11-C11</f>
        <v>-18868.201529999998</v>
      </c>
      <c r="F11" s="688">
        <f t="shared" ref="F11:F18" si="1">E11/C11</f>
        <v>-0.75147562868872675</v>
      </c>
      <c r="G11" s="685"/>
      <c r="I11" s="684"/>
      <c r="J11" s="684"/>
    </row>
    <row r="12" spans="1:12" ht="47.25">
      <c r="A12" s="685">
        <v>3</v>
      </c>
      <c r="B12" s="686" t="s">
        <v>614</v>
      </c>
      <c r="C12" s="687">
        <v>1630117.815494</v>
      </c>
      <c r="D12" s="687">
        <v>2953392.9052499002</v>
      </c>
      <c r="E12" s="687">
        <f t="shared" si="0"/>
        <v>1323275.0897559002</v>
      </c>
      <c r="F12" s="688">
        <f t="shared" si="1"/>
        <v>0.81176653440529856</v>
      </c>
      <c r="G12" s="685"/>
      <c r="I12" s="684"/>
      <c r="J12" s="684"/>
    </row>
    <row r="13" spans="1:12" ht="63">
      <c r="A13" s="685">
        <v>4</v>
      </c>
      <c r="B13" s="686" t="s">
        <v>615</v>
      </c>
      <c r="C13" s="687">
        <v>75418.496137000009</v>
      </c>
      <c r="D13" s="687">
        <v>137236.13748099998</v>
      </c>
      <c r="E13" s="687">
        <f t="shared" si="0"/>
        <v>61817.641343999974</v>
      </c>
      <c r="F13" s="688">
        <f t="shared" si="1"/>
        <v>0.81966154869630836</v>
      </c>
      <c r="G13" s="685"/>
      <c r="I13" s="684"/>
      <c r="J13" s="684"/>
    </row>
    <row r="14" spans="1:12" ht="78.75">
      <c r="A14" s="685">
        <v>5</v>
      </c>
      <c r="B14" s="686" t="s">
        <v>616</v>
      </c>
      <c r="C14" s="687">
        <v>148444.75665</v>
      </c>
      <c r="D14" s="687">
        <v>277700.280211</v>
      </c>
      <c r="E14" s="687">
        <f t="shared" si="0"/>
        <v>129255.52356100001</v>
      </c>
      <c r="F14" s="688">
        <f t="shared" si="1"/>
        <v>0.87073148609590867</v>
      </c>
      <c r="G14" s="685"/>
      <c r="I14" s="684"/>
      <c r="J14" s="684"/>
    </row>
    <row r="15" spans="1:12" s="689" customFormat="1" ht="63">
      <c r="A15" s="685">
        <v>6</v>
      </c>
      <c r="B15" s="686" t="s">
        <v>617</v>
      </c>
      <c r="C15" s="687">
        <v>28862</v>
      </c>
      <c r="D15" s="687">
        <f>30111-980</f>
        <v>29131</v>
      </c>
      <c r="E15" s="687">
        <f t="shared" si="0"/>
        <v>269</v>
      </c>
      <c r="F15" s="688">
        <f t="shared" si="1"/>
        <v>9.3202134294227707E-3</v>
      </c>
      <c r="G15" s="685"/>
      <c r="I15" s="684"/>
      <c r="J15" s="690"/>
    </row>
    <row r="16" spans="1:12" ht="78.75">
      <c r="A16" s="685">
        <v>7</v>
      </c>
      <c r="B16" s="686" t="s">
        <v>618</v>
      </c>
      <c r="C16" s="687">
        <v>1164321.1267960002</v>
      </c>
      <c r="D16" s="687">
        <v>2038786.707616</v>
      </c>
      <c r="E16" s="687">
        <f t="shared" si="0"/>
        <v>874465.5808199998</v>
      </c>
      <c r="F16" s="688">
        <f t="shared" si="1"/>
        <v>0.75105188825901481</v>
      </c>
      <c r="G16" s="685"/>
      <c r="I16" s="684"/>
      <c r="J16" s="684"/>
      <c r="L16" s="691"/>
    </row>
    <row r="17" spans="1:12" ht="25.5" customHeight="1">
      <c r="A17" s="692">
        <v>8</v>
      </c>
      <c r="B17" s="693" t="s">
        <v>619</v>
      </c>
      <c r="C17" s="694">
        <v>130666.434457</v>
      </c>
      <c r="D17" s="694">
        <f>183096+70</f>
        <v>183166</v>
      </c>
      <c r="E17" s="694">
        <f t="shared" si="0"/>
        <v>52499.565543000004</v>
      </c>
      <c r="F17" s="695">
        <f t="shared" si="1"/>
        <v>0.40178310337439166</v>
      </c>
      <c r="G17" s="693"/>
      <c r="I17" s="684"/>
      <c r="J17" s="684"/>
    </row>
    <row r="18" spans="1:12" s="676" customFormat="1" ht="30.75" customHeight="1">
      <c r="A18" s="867" t="s">
        <v>620</v>
      </c>
      <c r="B18" s="867"/>
      <c r="C18" s="696">
        <f>SUM(C10:C17)</f>
        <v>5249081.5006060004</v>
      </c>
      <c r="D18" s="696">
        <f>SUM(D10:D17)</f>
        <v>9016720.3138289005</v>
      </c>
      <c r="E18" s="696">
        <f>SUM(E10:E17)</f>
        <v>3767638.8132229</v>
      </c>
      <c r="F18" s="697">
        <f t="shared" si="1"/>
        <v>0.71777106390669121</v>
      </c>
      <c r="G18" s="698"/>
      <c r="I18" s="684"/>
      <c r="J18" s="699"/>
    </row>
    <row r="20" spans="1:12">
      <c r="C20" s="691"/>
    </row>
    <row r="22" spans="1:12">
      <c r="K22" s="684"/>
      <c r="L22" s="684"/>
    </row>
  </sheetData>
  <mergeCells count="12">
    <mergeCell ref="G7:G8"/>
    <mergeCell ref="A18:B18"/>
    <mergeCell ref="A1:B1"/>
    <mergeCell ref="F1:G1"/>
    <mergeCell ref="A4:G4"/>
    <mergeCell ref="A5:G5"/>
    <mergeCell ref="E6:G6"/>
    <mergeCell ref="A7:A8"/>
    <mergeCell ref="B7:B8"/>
    <mergeCell ref="C7:C8"/>
    <mergeCell ref="D7:D8"/>
    <mergeCell ref="E7:F7"/>
  </mergeCells>
  <pageMargins left="0.55000000000000004" right="0.41" top="0.75" bottom="0.75" header="0.3" footer="0.3"/>
  <pageSetup paperSize="9" scale="8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Formulas="1" workbookViewId="0">
      <selection activeCell="C1" sqref="C1"/>
    </sheetView>
  </sheetViews>
  <sheetFormatPr defaultColWidth="7.125" defaultRowHeight="12.75"/>
  <cols>
    <col min="1" max="1" width="23.25" style="2" customWidth="1"/>
    <col min="2" max="2" width="1" style="2" customWidth="1"/>
    <col min="3" max="3" width="25" style="2" customWidth="1"/>
    <col min="4" max="16384" width="7.125" style="2"/>
  </cols>
  <sheetData>
    <row r="1" spans="1:3" ht="15">
      <c r="A1" t="s">
        <v>17</v>
      </c>
    </row>
    <row r="2" spans="1:3" ht="14.25" thickBot="1">
      <c r="A2" s="1" t="s">
        <v>5</v>
      </c>
    </row>
    <row r="3" spans="1:3" ht="13.5" thickBot="1">
      <c r="A3" s="3" t="s">
        <v>6</v>
      </c>
      <c r="C3" s="4" t="s">
        <v>7</v>
      </c>
    </row>
    <row r="4" spans="1:3">
      <c r="A4" s="3">
        <v>3</v>
      </c>
    </row>
    <row r="6" spans="1:3" ht="13.5" thickBot="1"/>
    <row r="7" spans="1:3">
      <c r="A7" s="5" t="s">
        <v>8</v>
      </c>
    </row>
    <row r="8" spans="1:3">
      <c r="A8" s="6" t="s">
        <v>9</v>
      </c>
    </row>
    <row r="9" spans="1:3">
      <c r="A9" s="7" t="s">
        <v>10</v>
      </c>
    </row>
    <row r="10" spans="1:3">
      <c r="A10" s="6" t="s">
        <v>11</v>
      </c>
    </row>
    <row r="11" spans="1:3" ht="13.5" thickBot="1">
      <c r="A11" s="8" t="s">
        <v>12</v>
      </c>
    </row>
    <row r="13" spans="1:3" ht="13.5" thickBot="1"/>
    <row r="14" spans="1:3" ht="13.5" thickBot="1">
      <c r="A14" s="4" t="s">
        <v>13</v>
      </c>
    </row>
    <row r="16" spans="1:3" ht="13.5" thickBot="1"/>
    <row r="17" spans="1:3" ht="13.5" thickBot="1">
      <c r="C17" s="4" t="s">
        <v>14</v>
      </c>
    </row>
    <row r="20" spans="1:3">
      <c r="A20" s="9" t="s">
        <v>15</v>
      </c>
    </row>
    <row r="26" spans="1:3" ht="13.5" thickBot="1">
      <c r="C26" s="10" t="s">
        <v>16</v>
      </c>
    </row>
  </sheetData>
  <sheetProtection password="8863" sheet="1" objects="1"/>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3"/>
  <sheetViews>
    <sheetView zoomScale="80" zoomScaleNormal="80" workbookViewId="0">
      <pane ySplit="9" topLeftCell="A70" activePane="bottomLeft" state="frozen"/>
      <selection activeCell="L24" sqref="L24"/>
      <selection pane="bottomLeft" activeCell="F78" sqref="F78"/>
    </sheetView>
  </sheetViews>
  <sheetFormatPr defaultRowHeight="18.75"/>
  <cols>
    <col min="1" max="1" width="4.25" style="59" customWidth="1"/>
    <col min="2" max="2" width="48.875" style="58" customWidth="1"/>
    <col min="3" max="3" width="11.75" style="58" customWidth="1"/>
    <col min="4" max="4" width="12.375" style="58" customWidth="1"/>
    <col min="5" max="5" width="17" style="58" customWidth="1"/>
    <col min="6" max="6" width="11.875" style="58" customWidth="1"/>
    <col min="7" max="7" width="11.375" style="58" customWidth="1"/>
    <col min="8" max="9" width="12.75" style="58" bestFit="1" customWidth="1"/>
    <col min="10" max="10" width="11.125" style="58" customWidth="1"/>
    <col min="11" max="11" width="10.875" style="58" customWidth="1"/>
    <col min="12" max="13" width="12" style="58" bestFit="1" customWidth="1"/>
    <col min="14" max="14" width="13.125" style="19" customWidth="1"/>
    <col min="15" max="15" width="14.125" style="37" bestFit="1" customWidth="1"/>
    <col min="16" max="17" width="12.75" style="58" bestFit="1" customWidth="1"/>
    <col min="18" max="19" width="11.125" style="58" bestFit="1" customWidth="1"/>
    <col min="20" max="16384" width="9" style="58"/>
  </cols>
  <sheetData>
    <row r="1" spans="1:20" ht="24" customHeight="1">
      <c r="A1" s="724" t="str">
        <f>'60'!A1</f>
        <v>HỘI NHÂN DÂN TỈNH BÌNH PHƯỚC</v>
      </c>
      <c r="B1" s="724"/>
      <c r="H1" s="730" t="s">
        <v>196</v>
      </c>
      <c r="I1" s="730"/>
      <c r="J1" s="730"/>
      <c r="K1" s="730"/>
      <c r="L1" s="369"/>
      <c r="M1" s="334"/>
    </row>
    <row r="2" spans="1:20" ht="49.5" customHeight="1">
      <c r="A2" s="116"/>
      <c r="B2" s="116"/>
      <c r="H2" s="731" t="s">
        <v>339</v>
      </c>
      <c r="I2" s="731"/>
      <c r="J2" s="731"/>
      <c r="K2" s="731"/>
      <c r="L2" s="370"/>
      <c r="M2" s="335"/>
    </row>
    <row r="3" spans="1:20" ht="17.25" customHeight="1">
      <c r="A3" s="725" t="s">
        <v>506</v>
      </c>
      <c r="B3" s="725"/>
      <c r="C3" s="725"/>
      <c r="D3" s="725"/>
      <c r="E3" s="725"/>
      <c r="F3" s="725"/>
      <c r="G3" s="725"/>
      <c r="H3" s="725"/>
      <c r="I3" s="725"/>
      <c r="J3" s="725"/>
      <c r="K3" s="725"/>
      <c r="L3" s="367"/>
      <c r="M3" s="332"/>
    </row>
    <row r="4" spans="1:20" ht="30" customHeight="1">
      <c r="A4" s="726" t="str">
        <f>'60'!A4:L4</f>
        <v>(Kèm theo Nghị quyết số:         /NQ-HĐND ngày      tháng  12  năm 2023 của Hội đồng nhân dân tỉnh)</v>
      </c>
      <c r="B4" s="726"/>
      <c r="C4" s="726"/>
      <c r="D4" s="726"/>
      <c r="E4" s="726"/>
      <c r="F4" s="726"/>
      <c r="G4" s="726"/>
      <c r="H4" s="726"/>
      <c r="I4" s="726"/>
      <c r="J4" s="726"/>
      <c r="K4" s="726"/>
      <c r="L4" s="368"/>
      <c r="M4" s="333"/>
    </row>
    <row r="5" spans="1:20" ht="23.25" customHeight="1">
      <c r="C5" s="60"/>
      <c r="D5" s="60"/>
      <c r="E5" s="439"/>
      <c r="F5" s="117"/>
      <c r="G5" s="117"/>
      <c r="H5" s="117"/>
      <c r="I5" s="440">
        <f>334794-I11</f>
        <v>0</v>
      </c>
      <c r="J5" s="720" t="s">
        <v>165</v>
      </c>
      <c r="K5" s="720"/>
      <c r="L5" s="337"/>
      <c r="M5" s="337"/>
    </row>
    <row r="6" spans="1:20" ht="24.75" customHeight="1">
      <c r="A6" s="721" t="s">
        <v>18</v>
      </c>
      <c r="B6" s="721" t="s">
        <v>178</v>
      </c>
      <c r="C6" s="727" t="s">
        <v>179</v>
      </c>
      <c r="D6" s="728"/>
      <c r="E6" s="431" t="s">
        <v>176</v>
      </c>
      <c r="F6" s="160" t="s">
        <v>182</v>
      </c>
      <c r="G6" s="160"/>
      <c r="H6" s="160"/>
      <c r="I6" s="161"/>
      <c r="J6" s="727" t="s">
        <v>180</v>
      </c>
      <c r="K6" s="729"/>
      <c r="L6" s="163"/>
      <c r="M6" s="163"/>
    </row>
    <row r="7" spans="1:20" ht="26.25" customHeight="1">
      <c r="A7" s="722"/>
      <c r="B7" s="722"/>
      <c r="C7" s="162" t="s">
        <v>19</v>
      </c>
      <c r="D7" s="163" t="s">
        <v>147</v>
      </c>
      <c r="E7" s="432" t="s">
        <v>509</v>
      </c>
      <c r="F7" s="431" t="s">
        <v>3</v>
      </c>
      <c r="G7" s="472" t="s">
        <v>20</v>
      </c>
      <c r="H7" s="431" t="s">
        <v>20</v>
      </c>
      <c r="I7" s="431" t="s">
        <v>3</v>
      </c>
      <c r="J7" s="162" t="s">
        <v>19</v>
      </c>
      <c r="K7" s="159" t="s">
        <v>147</v>
      </c>
      <c r="L7" s="163"/>
      <c r="M7" s="163"/>
    </row>
    <row r="8" spans="1:20" ht="18.75" customHeight="1">
      <c r="A8" s="723"/>
      <c r="B8" s="723"/>
      <c r="C8" s="162" t="s">
        <v>21</v>
      </c>
      <c r="D8" s="164" t="s">
        <v>146</v>
      </c>
      <c r="E8" s="433"/>
      <c r="F8" s="432" t="s">
        <v>22</v>
      </c>
      <c r="G8" s="473" t="s">
        <v>145</v>
      </c>
      <c r="H8" s="432" t="s">
        <v>142</v>
      </c>
      <c r="I8" s="166" t="s">
        <v>149</v>
      </c>
      <c r="J8" s="162" t="s">
        <v>21</v>
      </c>
      <c r="K8" s="165" t="s">
        <v>146</v>
      </c>
      <c r="L8" s="163"/>
      <c r="M8" s="163"/>
    </row>
    <row r="9" spans="1:20" s="69" customFormat="1" ht="16.5" customHeight="1">
      <c r="A9" s="66" t="s">
        <v>1</v>
      </c>
      <c r="B9" s="66" t="s">
        <v>2</v>
      </c>
      <c r="C9" s="67" t="s">
        <v>23</v>
      </c>
      <c r="D9" s="67" t="s">
        <v>24</v>
      </c>
      <c r="E9" s="67" t="s">
        <v>25</v>
      </c>
      <c r="F9" s="68" t="s">
        <v>26</v>
      </c>
      <c r="G9" s="68" t="s">
        <v>27</v>
      </c>
      <c r="H9" s="68" t="s">
        <v>28</v>
      </c>
      <c r="I9" s="68" t="s">
        <v>29</v>
      </c>
      <c r="J9" s="68" t="s">
        <v>30</v>
      </c>
      <c r="K9" s="68" t="s">
        <v>31</v>
      </c>
      <c r="L9" s="338"/>
      <c r="M9" s="338"/>
      <c r="N9" s="19"/>
      <c r="O9" s="37"/>
    </row>
    <row r="10" spans="1:20" s="69" customFormat="1" ht="21" customHeight="1">
      <c r="A10" s="85"/>
      <c r="B10" s="85" t="s">
        <v>32</v>
      </c>
      <c r="C10" s="86">
        <f>C11</f>
        <v>12180000</v>
      </c>
      <c r="D10" s="86">
        <f t="shared" ref="D10:I10" si="0">D11</f>
        <v>14250000</v>
      </c>
      <c r="E10" s="86">
        <f>E11</f>
        <v>14282505.199999999</v>
      </c>
      <c r="F10" s="86">
        <f t="shared" si="0"/>
        <v>1338835</v>
      </c>
      <c r="G10" s="86">
        <f t="shared" si="0"/>
        <v>7493637.1999999993</v>
      </c>
      <c r="H10" s="86">
        <f t="shared" si="0"/>
        <v>5115239</v>
      </c>
      <c r="I10" s="86">
        <f t="shared" si="0"/>
        <v>334794</v>
      </c>
      <c r="J10" s="89">
        <f>E10/C10*100</f>
        <v>117.26194745484399</v>
      </c>
      <c r="K10" s="483">
        <f>E10/D10*100</f>
        <v>100.22810666666666</v>
      </c>
      <c r="L10" s="121"/>
      <c r="M10" s="339"/>
      <c r="N10" s="19"/>
      <c r="O10" s="19"/>
      <c r="P10" s="19"/>
      <c r="Q10" s="19"/>
      <c r="R10" s="117"/>
      <c r="S10" s="117"/>
      <c r="T10" s="58"/>
    </row>
    <row r="11" spans="1:20" s="69" customFormat="1" ht="21" customHeight="1">
      <c r="A11" s="87" t="s">
        <v>1</v>
      </c>
      <c r="B11" s="88" t="s">
        <v>297</v>
      </c>
      <c r="C11" s="89">
        <f t="shared" ref="C11:I11" si="1">C12+C62+C70</f>
        <v>12180000</v>
      </c>
      <c r="D11" s="89">
        <f t="shared" si="1"/>
        <v>14250000</v>
      </c>
      <c r="E11" s="89">
        <f>E12+E62+E70</f>
        <v>14282505.199999999</v>
      </c>
      <c r="F11" s="89">
        <f t="shared" si="1"/>
        <v>1338835</v>
      </c>
      <c r="G11" s="89">
        <f t="shared" si="1"/>
        <v>7493637.1999999993</v>
      </c>
      <c r="H11" s="89">
        <f t="shared" si="1"/>
        <v>5115239</v>
      </c>
      <c r="I11" s="89">
        <f t="shared" si="1"/>
        <v>334794</v>
      </c>
      <c r="J11" s="89">
        <f>E11/C11*100</f>
        <v>117.26194745484399</v>
      </c>
      <c r="K11" s="483">
        <f>E11/D11*100</f>
        <v>100.22810666666666</v>
      </c>
      <c r="L11" s="121"/>
      <c r="M11" s="339"/>
      <c r="N11" s="121"/>
      <c r="O11" s="121"/>
      <c r="P11" s="121"/>
      <c r="Q11" s="121"/>
      <c r="R11" s="121"/>
      <c r="S11" s="19"/>
    </row>
    <row r="12" spans="1:20" s="69" customFormat="1" ht="21" customHeight="1">
      <c r="A12" s="87" t="s">
        <v>86</v>
      </c>
      <c r="B12" s="88" t="s">
        <v>241</v>
      </c>
      <c r="C12" s="89">
        <f>C13+C20+C27+C34+SUM(C41:C45)+C48+C52+SUM(C55:C55)+SUM(C56:C56)+C58+SUM(C59:C61)</f>
        <v>11030000</v>
      </c>
      <c r="D12" s="89">
        <f>D13+D20+D27+D34+SUM(D41:D45)+D48+D52+SUM(D55:D55)+SUM(D56:D56)+D58+SUM(D59:D61)</f>
        <v>13100000</v>
      </c>
      <c r="E12" s="89">
        <f>E13+E20+E27+E34+SUM(E41:E45)+E48+E52+SUM(E55:E55)+SUM(E56:E56)+E58+SUM(E59:E61)</f>
        <v>13229249.199999999</v>
      </c>
      <c r="F12" s="89">
        <f t="shared" ref="F12:I12" si="2">F13+F20+F27+F34+SUM(F41:F45)+F48+F52+SUM(F55:F55)+SUM(F56:F56)+F58+SUM(F59:F61)</f>
        <v>294805</v>
      </c>
      <c r="G12" s="89">
        <f>G13+G20+G27+G34+SUM(G41:G45)+G48+G52+SUM(G55:G55)+SUM(G56:G56)+G58+SUM(G59:G61)</f>
        <v>7492637.1999999993</v>
      </c>
      <c r="H12" s="89">
        <f t="shared" si="2"/>
        <v>5114902</v>
      </c>
      <c r="I12" s="89">
        <f t="shared" si="2"/>
        <v>326905</v>
      </c>
      <c r="J12" s="89">
        <f>E12/C12*100</f>
        <v>119.93879601087943</v>
      </c>
      <c r="K12" s="483">
        <f>E12/D12*100</f>
        <v>100.98663511450381</v>
      </c>
      <c r="L12" s="121"/>
      <c r="M12" s="339"/>
      <c r="N12" s="19"/>
      <c r="O12" s="37"/>
    </row>
    <row r="13" spans="1:20" s="69" customFormat="1" ht="35.25" customHeight="1">
      <c r="A13" s="90" t="s">
        <v>33</v>
      </c>
      <c r="B13" s="91" t="s">
        <v>200</v>
      </c>
      <c r="C13" s="89">
        <f t="shared" ref="C13:I13" si="3">SUM(C14:C19)</f>
        <v>480000</v>
      </c>
      <c r="D13" s="89">
        <f t="shared" si="3"/>
        <v>500000</v>
      </c>
      <c r="E13" s="89">
        <f t="shared" si="3"/>
        <v>570524</v>
      </c>
      <c r="F13" s="89">
        <f t="shared" si="3"/>
        <v>0</v>
      </c>
      <c r="G13" s="89">
        <f t="shared" si="3"/>
        <v>570524</v>
      </c>
      <c r="H13" s="89">
        <f t="shared" si="3"/>
        <v>0</v>
      </c>
      <c r="I13" s="89">
        <f t="shared" si="3"/>
        <v>0</v>
      </c>
      <c r="J13" s="89">
        <f>E13/C13*100</f>
        <v>118.85916666666667</v>
      </c>
      <c r="K13" s="483">
        <f>E13/D13*100</f>
        <v>114.10480000000001</v>
      </c>
      <c r="L13" s="121"/>
      <c r="M13" s="339"/>
      <c r="N13" s="19"/>
      <c r="O13" s="37"/>
    </row>
    <row r="14" spans="1:20" ht="20.25" customHeight="1">
      <c r="A14" s="92"/>
      <c r="B14" s="93" t="s">
        <v>34</v>
      </c>
      <c r="C14" s="94">
        <v>263000</v>
      </c>
      <c r="D14" s="94">
        <v>296000</v>
      </c>
      <c r="E14" s="94">
        <f>SUM(F14:I14)</f>
        <v>253591</v>
      </c>
      <c r="F14" s="94"/>
      <c r="G14" s="94">
        <v>253591</v>
      </c>
      <c r="H14" s="94">
        <v>0</v>
      </c>
      <c r="I14" s="94"/>
      <c r="J14" s="115"/>
      <c r="K14" s="115"/>
      <c r="L14" s="339"/>
      <c r="M14" s="339"/>
    </row>
    <row r="15" spans="1:20" ht="26.25" customHeight="1">
      <c r="A15" s="92"/>
      <c r="B15" s="93" t="s">
        <v>35</v>
      </c>
      <c r="C15" s="94">
        <v>185000</v>
      </c>
      <c r="D15" s="94">
        <v>180000</v>
      </c>
      <c r="E15" s="94">
        <f t="shared" ref="E15:E64" si="4">SUM(F15:I15)</f>
        <v>272445</v>
      </c>
      <c r="F15" s="94"/>
      <c r="G15" s="94">
        <v>272445</v>
      </c>
      <c r="H15" s="94"/>
      <c r="I15" s="94"/>
      <c r="J15" s="115"/>
      <c r="K15" s="115"/>
      <c r="L15" s="339"/>
      <c r="M15" s="339"/>
    </row>
    <row r="16" spans="1:20" ht="22.5" customHeight="1">
      <c r="A16" s="95"/>
      <c r="B16" s="93" t="s">
        <v>123</v>
      </c>
      <c r="C16" s="94"/>
      <c r="D16" s="94"/>
      <c r="E16" s="94">
        <f t="shared" si="4"/>
        <v>0</v>
      </c>
      <c r="F16" s="94"/>
      <c r="G16" s="94"/>
      <c r="H16" s="94"/>
      <c r="I16" s="94"/>
      <c r="J16" s="115"/>
      <c r="K16" s="115"/>
      <c r="L16" s="339"/>
      <c r="M16" s="339"/>
      <c r="O16" s="83"/>
    </row>
    <row r="17" spans="1:13" ht="19.5" customHeight="1">
      <c r="A17" s="92"/>
      <c r="B17" s="93" t="s">
        <v>37</v>
      </c>
      <c r="C17" s="94">
        <v>32000</v>
      </c>
      <c r="D17" s="94">
        <v>24000</v>
      </c>
      <c r="E17" s="94">
        <f t="shared" si="4"/>
        <v>44488</v>
      </c>
      <c r="F17" s="94"/>
      <c r="G17" s="94">
        <v>44488</v>
      </c>
      <c r="H17" s="94"/>
      <c r="I17" s="94"/>
      <c r="J17" s="115"/>
      <c r="K17" s="115"/>
      <c r="L17" s="339"/>
      <c r="M17" s="339"/>
    </row>
    <row r="18" spans="1:13" ht="19.5" customHeight="1">
      <c r="A18" s="92"/>
      <c r="B18" s="93" t="s">
        <v>125</v>
      </c>
      <c r="C18" s="94"/>
      <c r="D18" s="94"/>
      <c r="E18" s="94">
        <f t="shared" si="4"/>
        <v>0</v>
      </c>
      <c r="F18" s="94"/>
      <c r="G18" s="94">
        <v>0</v>
      </c>
      <c r="H18" s="94"/>
      <c r="I18" s="94"/>
      <c r="J18" s="115"/>
      <c r="K18" s="115"/>
      <c r="L18" s="339"/>
      <c r="M18" s="339"/>
    </row>
    <row r="19" spans="1:13" ht="19.5" customHeight="1">
      <c r="A19" s="92"/>
      <c r="B19" s="93" t="s">
        <v>124</v>
      </c>
      <c r="C19" s="94"/>
      <c r="D19" s="94"/>
      <c r="E19" s="94">
        <f t="shared" si="4"/>
        <v>0</v>
      </c>
      <c r="F19" s="94"/>
      <c r="G19" s="94">
        <v>0</v>
      </c>
      <c r="H19" s="94"/>
      <c r="I19" s="94"/>
      <c r="J19" s="115"/>
      <c r="K19" s="115"/>
      <c r="L19" s="339"/>
      <c r="M19" s="339"/>
    </row>
    <row r="20" spans="1:13" ht="31.5" customHeight="1">
      <c r="A20" s="90" t="s">
        <v>38</v>
      </c>
      <c r="B20" s="91" t="s">
        <v>199</v>
      </c>
      <c r="C20" s="89">
        <f t="shared" ref="C20:I20" si="5">SUM(C21:C26)</f>
        <v>420000</v>
      </c>
      <c r="D20" s="89">
        <f t="shared" si="5"/>
        <v>550000</v>
      </c>
      <c r="E20" s="89">
        <f t="shared" si="5"/>
        <v>637462</v>
      </c>
      <c r="F20" s="89">
        <f t="shared" si="5"/>
        <v>0</v>
      </c>
      <c r="G20" s="89">
        <f t="shared" si="5"/>
        <v>636352</v>
      </c>
      <c r="H20" s="89">
        <f t="shared" si="5"/>
        <v>1110</v>
      </c>
      <c r="I20" s="89">
        <f t="shared" si="5"/>
        <v>0</v>
      </c>
      <c r="J20" s="89">
        <f>E20/C20*100</f>
        <v>151.77666666666667</v>
      </c>
      <c r="K20" s="89">
        <f>E20/D20*100</f>
        <v>115.90218181818182</v>
      </c>
      <c r="L20" s="121"/>
      <c r="M20" s="339"/>
    </row>
    <row r="21" spans="1:13" ht="19.5" customHeight="1">
      <c r="A21" s="92"/>
      <c r="B21" s="93" t="s">
        <v>34</v>
      </c>
      <c r="C21" s="94">
        <v>240000</v>
      </c>
      <c r="D21" s="94">
        <v>230950</v>
      </c>
      <c r="E21" s="94">
        <f>SUM(F21:I21)</f>
        <v>255126</v>
      </c>
      <c r="F21" s="94"/>
      <c r="G21" s="94">
        <v>254606</v>
      </c>
      <c r="H21" s="94">
        <v>520</v>
      </c>
      <c r="I21" s="94"/>
      <c r="J21" s="115"/>
      <c r="K21" s="115"/>
      <c r="L21" s="339"/>
      <c r="M21" s="339"/>
    </row>
    <row r="22" spans="1:13" ht="19.5" customHeight="1">
      <c r="A22" s="92"/>
      <c r="B22" s="93" t="s">
        <v>35</v>
      </c>
      <c r="C22" s="94">
        <v>105000</v>
      </c>
      <c r="D22" s="94">
        <v>234050</v>
      </c>
      <c r="E22" s="94">
        <f t="shared" ref="E22:E26" si="6">SUM(F22:I22)</f>
        <v>262404</v>
      </c>
      <c r="F22" s="94">
        <v>0</v>
      </c>
      <c r="G22" s="94">
        <v>261814</v>
      </c>
      <c r="H22" s="94">
        <v>590</v>
      </c>
      <c r="I22" s="94"/>
      <c r="J22" s="115"/>
      <c r="K22" s="115"/>
      <c r="L22" s="339"/>
      <c r="M22" s="339"/>
    </row>
    <row r="23" spans="1:13" ht="19.5" customHeight="1">
      <c r="A23" s="95"/>
      <c r="B23" s="93" t="s">
        <v>123</v>
      </c>
      <c r="C23" s="94"/>
      <c r="D23" s="94"/>
      <c r="E23" s="94">
        <f t="shared" si="6"/>
        <v>0</v>
      </c>
      <c r="F23" s="94"/>
      <c r="G23" s="94"/>
      <c r="H23" s="94"/>
      <c r="I23" s="94"/>
      <c r="J23" s="115"/>
      <c r="K23" s="115"/>
      <c r="L23" s="339"/>
      <c r="M23" s="339"/>
    </row>
    <row r="24" spans="1:13" ht="19.5" customHeight="1">
      <c r="A24" s="92"/>
      <c r="B24" s="93" t="s">
        <v>37</v>
      </c>
      <c r="C24" s="94">
        <v>75000</v>
      </c>
      <c r="D24" s="94">
        <v>85000</v>
      </c>
      <c r="E24" s="94">
        <f t="shared" si="6"/>
        <v>119932</v>
      </c>
      <c r="F24" s="94"/>
      <c r="G24" s="94">
        <v>119932</v>
      </c>
      <c r="H24" s="94"/>
      <c r="I24" s="94"/>
      <c r="J24" s="115"/>
      <c r="K24" s="115"/>
      <c r="L24" s="339"/>
      <c r="M24" s="339"/>
    </row>
    <row r="25" spans="1:13" ht="19.5" customHeight="1">
      <c r="A25" s="92"/>
      <c r="B25" s="93" t="s">
        <v>125</v>
      </c>
      <c r="C25" s="94"/>
      <c r="D25" s="94"/>
      <c r="E25" s="94">
        <f t="shared" si="6"/>
        <v>0</v>
      </c>
      <c r="F25" s="94"/>
      <c r="G25" s="94"/>
      <c r="H25" s="94"/>
      <c r="I25" s="94"/>
      <c r="J25" s="115"/>
      <c r="K25" s="115"/>
      <c r="L25" s="339"/>
      <c r="M25" s="339"/>
    </row>
    <row r="26" spans="1:13" ht="19.5" customHeight="1">
      <c r="A26" s="92"/>
      <c r="B26" s="93" t="s">
        <v>124</v>
      </c>
      <c r="C26" s="94"/>
      <c r="D26" s="94"/>
      <c r="E26" s="94">
        <f t="shared" si="6"/>
        <v>0</v>
      </c>
      <c r="F26" s="94"/>
      <c r="G26" s="94"/>
      <c r="H26" s="94"/>
      <c r="I26" s="94"/>
      <c r="J26" s="115"/>
      <c r="K26" s="115"/>
      <c r="L26" s="339"/>
      <c r="M26" s="339"/>
    </row>
    <row r="27" spans="1:13">
      <c r="A27" s="90" t="s">
        <v>39</v>
      </c>
      <c r="B27" s="91" t="s">
        <v>193</v>
      </c>
      <c r="C27" s="96">
        <f>SUM(C28:C31)</f>
        <v>700000</v>
      </c>
      <c r="D27" s="96">
        <f t="shared" ref="D27:I27" si="7">SUM(D28:D33)</f>
        <v>850000</v>
      </c>
      <c r="E27" s="96">
        <f t="shared" si="7"/>
        <v>761470</v>
      </c>
      <c r="F27" s="96">
        <f t="shared" si="7"/>
        <v>0</v>
      </c>
      <c r="G27" s="96">
        <f t="shared" si="7"/>
        <v>761470</v>
      </c>
      <c r="H27" s="96">
        <f t="shared" si="7"/>
        <v>0</v>
      </c>
      <c r="I27" s="96">
        <f t="shared" si="7"/>
        <v>0</v>
      </c>
      <c r="J27" s="89">
        <f>E27/C27*100</f>
        <v>108.78142857142856</v>
      </c>
      <c r="K27" s="89">
        <f>E27/D27*100</f>
        <v>89.584705882352949</v>
      </c>
      <c r="L27" s="121"/>
      <c r="M27" s="339"/>
    </row>
    <row r="28" spans="1:13" ht="18" customHeight="1">
      <c r="A28" s="92"/>
      <c r="B28" s="93" t="s">
        <v>34</v>
      </c>
      <c r="C28" s="94">
        <v>260000</v>
      </c>
      <c r="D28" s="94">
        <v>330500</v>
      </c>
      <c r="E28" s="94">
        <f t="shared" si="4"/>
        <v>250148</v>
      </c>
      <c r="F28" s="94"/>
      <c r="G28" s="94">
        <v>250148</v>
      </c>
      <c r="H28" s="94"/>
      <c r="I28" s="94"/>
      <c r="J28" s="115"/>
      <c r="K28" s="115"/>
      <c r="L28" s="339"/>
      <c r="M28" s="339"/>
    </row>
    <row r="29" spans="1:13" ht="18" customHeight="1">
      <c r="A29" s="92"/>
      <c r="B29" s="93" t="s">
        <v>35</v>
      </c>
      <c r="C29" s="94">
        <v>439900</v>
      </c>
      <c r="D29" s="94">
        <v>519400</v>
      </c>
      <c r="E29" s="94">
        <f t="shared" si="4"/>
        <v>511267</v>
      </c>
      <c r="F29" s="94"/>
      <c r="G29" s="94">
        <v>511267</v>
      </c>
      <c r="H29" s="94"/>
      <c r="I29" s="94"/>
      <c r="J29" s="115"/>
      <c r="K29" s="115"/>
      <c r="L29" s="339"/>
      <c r="M29" s="339"/>
    </row>
    <row r="30" spans="1:13" ht="18" customHeight="1">
      <c r="A30" s="95"/>
      <c r="B30" s="93" t="s">
        <v>37</v>
      </c>
      <c r="C30" s="94">
        <v>100</v>
      </c>
      <c r="D30" s="94">
        <v>100</v>
      </c>
      <c r="E30" s="94">
        <f t="shared" si="4"/>
        <v>55</v>
      </c>
      <c r="F30" s="94"/>
      <c r="G30" s="94">
        <v>55</v>
      </c>
      <c r="H30" s="94"/>
      <c r="I30" s="94"/>
      <c r="J30" s="115"/>
      <c r="K30" s="115"/>
      <c r="L30" s="339"/>
      <c r="M30" s="339"/>
    </row>
    <row r="31" spans="1:13" ht="18" customHeight="1">
      <c r="A31" s="92"/>
      <c r="B31" s="93" t="s">
        <v>40</v>
      </c>
      <c r="C31" s="94"/>
      <c r="D31" s="94"/>
      <c r="E31" s="96">
        <f t="shared" si="4"/>
        <v>0</v>
      </c>
      <c r="F31" s="94"/>
      <c r="G31" s="94"/>
      <c r="H31" s="94"/>
      <c r="I31" s="94"/>
      <c r="J31" s="115"/>
      <c r="K31" s="115"/>
      <c r="L31" s="339"/>
      <c r="M31" s="339"/>
    </row>
    <row r="32" spans="1:13" ht="18" customHeight="1">
      <c r="A32" s="92"/>
      <c r="B32" s="93" t="s">
        <v>125</v>
      </c>
      <c r="C32" s="94"/>
      <c r="D32" s="94"/>
      <c r="E32" s="96">
        <f t="shared" si="4"/>
        <v>0</v>
      </c>
      <c r="F32" s="94"/>
      <c r="G32" s="94"/>
      <c r="H32" s="94"/>
      <c r="I32" s="94"/>
      <c r="J32" s="115"/>
      <c r="K32" s="115"/>
      <c r="L32" s="339"/>
      <c r="M32" s="339"/>
    </row>
    <row r="33" spans="1:15" ht="18" customHeight="1">
      <c r="A33" s="92"/>
      <c r="B33" s="93" t="s">
        <v>124</v>
      </c>
      <c r="C33" s="94"/>
      <c r="D33" s="94"/>
      <c r="E33" s="96">
        <f t="shared" si="4"/>
        <v>0</v>
      </c>
      <c r="F33" s="94"/>
      <c r="G33" s="94"/>
      <c r="H33" s="94"/>
      <c r="I33" s="94"/>
      <c r="J33" s="115"/>
      <c r="K33" s="115"/>
      <c r="L33" s="339"/>
      <c r="M33" s="339"/>
    </row>
    <row r="34" spans="1:15" ht="18.75" customHeight="1">
      <c r="A34" s="90" t="s">
        <v>41</v>
      </c>
      <c r="B34" s="91" t="s">
        <v>42</v>
      </c>
      <c r="C34" s="96">
        <f>SUM(C35:C39)</f>
        <v>1580000</v>
      </c>
      <c r="D34" s="96">
        <f>SUM(D35:D40)</f>
        <v>1750000</v>
      </c>
      <c r="E34" s="96">
        <f t="shared" si="4"/>
        <v>1704495</v>
      </c>
      <c r="F34" s="96">
        <f>SUM(F35:F40)</f>
        <v>313</v>
      </c>
      <c r="G34" s="96">
        <f>SUM(G35:G40)</f>
        <v>709998</v>
      </c>
      <c r="H34" s="96">
        <f>SUM(H35:H40)</f>
        <v>940933</v>
      </c>
      <c r="I34" s="96">
        <f>SUM(I35:I40)</f>
        <v>53251</v>
      </c>
      <c r="J34" s="89">
        <f>E34/C34*100</f>
        <v>107.87943037974684</v>
      </c>
      <c r="K34" s="89">
        <f>E34/D34*100</f>
        <v>97.399714285714296</v>
      </c>
      <c r="L34" s="121"/>
      <c r="M34" s="339"/>
    </row>
    <row r="35" spans="1:15" ht="18" customHeight="1">
      <c r="A35" s="92"/>
      <c r="B35" s="93" t="s">
        <v>34</v>
      </c>
      <c r="C35" s="94">
        <v>1306000</v>
      </c>
      <c r="D35" s="94">
        <v>1415000</v>
      </c>
      <c r="E35" s="94">
        <f t="shared" si="4"/>
        <v>1303928</v>
      </c>
      <c r="F35" s="94"/>
      <c r="G35" s="94">
        <v>466659</v>
      </c>
      <c r="H35" s="94">
        <v>784018</v>
      </c>
      <c r="I35" s="94">
        <v>53251</v>
      </c>
      <c r="J35" s="89"/>
      <c r="K35" s="89"/>
      <c r="L35" s="121"/>
      <c r="M35" s="339"/>
    </row>
    <row r="36" spans="1:15" ht="18" customHeight="1">
      <c r="A36" s="97"/>
      <c r="B36" s="93" t="s">
        <v>35</v>
      </c>
      <c r="C36" s="94">
        <v>202000</v>
      </c>
      <c r="D36" s="94">
        <v>270700</v>
      </c>
      <c r="E36" s="94">
        <f t="shared" si="4"/>
        <v>305057</v>
      </c>
      <c r="F36" s="94"/>
      <c r="G36" s="94">
        <v>207856</v>
      </c>
      <c r="H36" s="94">
        <v>97201</v>
      </c>
      <c r="I36" s="94"/>
      <c r="J36" s="89"/>
      <c r="K36" s="89"/>
      <c r="L36" s="121"/>
      <c r="M36" s="339"/>
    </row>
    <row r="37" spans="1:15" ht="18" customHeight="1">
      <c r="A37" s="92"/>
      <c r="B37" s="93" t="s">
        <v>36</v>
      </c>
      <c r="C37" s="94">
        <v>2000</v>
      </c>
      <c r="D37" s="94">
        <v>2030</v>
      </c>
      <c r="E37" s="94">
        <f t="shared" si="4"/>
        <v>2492</v>
      </c>
      <c r="F37" s="94">
        <v>313</v>
      </c>
      <c r="G37" s="94">
        <f>2176-1</f>
        <v>2175</v>
      </c>
      <c r="H37" s="94">
        <v>4</v>
      </c>
      <c r="I37" s="94"/>
      <c r="J37" s="89"/>
      <c r="K37" s="89"/>
      <c r="L37" s="121"/>
      <c r="M37" s="339"/>
    </row>
    <row r="38" spans="1:15" ht="18" customHeight="1">
      <c r="A38" s="92"/>
      <c r="B38" s="93" t="s">
        <v>125</v>
      </c>
      <c r="C38" s="94"/>
      <c r="D38" s="94"/>
      <c r="E38" s="94">
        <f t="shared" si="4"/>
        <v>0</v>
      </c>
      <c r="F38" s="94"/>
      <c r="G38" s="94"/>
      <c r="H38" s="94"/>
      <c r="I38" s="94"/>
      <c r="J38" s="89"/>
      <c r="K38" s="89"/>
      <c r="L38" s="121"/>
      <c r="M38" s="339"/>
    </row>
    <row r="39" spans="1:15" ht="18" customHeight="1">
      <c r="A39" s="92"/>
      <c r="B39" s="93" t="s">
        <v>37</v>
      </c>
      <c r="C39" s="94">
        <v>70000</v>
      </c>
      <c r="D39" s="94">
        <v>62270</v>
      </c>
      <c r="E39" s="94">
        <f t="shared" si="4"/>
        <v>93018</v>
      </c>
      <c r="F39" s="94">
        <v>0</v>
      </c>
      <c r="G39" s="94">
        <v>33308</v>
      </c>
      <c r="H39" s="94">
        <v>59710</v>
      </c>
      <c r="I39" s="94"/>
      <c r="J39" s="89"/>
      <c r="K39" s="89"/>
      <c r="L39" s="121"/>
      <c r="M39" s="339"/>
    </row>
    <row r="40" spans="1:15" ht="18" customHeight="1">
      <c r="A40" s="92"/>
      <c r="B40" s="93" t="s">
        <v>124</v>
      </c>
      <c r="C40" s="94"/>
      <c r="D40" s="94">
        <v>0</v>
      </c>
      <c r="E40" s="96">
        <f t="shared" si="4"/>
        <v>0</v>
      </c>
      <c r="F40" s="94"/>
      <c r="G40" s="94"/>
      <c r="H40" s="94"/>
      <c r="I40" s="94"/>
      <c r="J40" s="89"/>
      <c r="K40" s="89"/>
      <c r="L40" s="121"/>
      <c r="M40" s="339"/>
    </row>
    <row r="41" spans="1:15" s="490" customFormat="1" ht="21" customHeight="1">
      <c r="A41" s="90" t="s">
        <v>43</v>
      </c>
      <c r="B41" s="98" t="s">
        <v>44</v>
      </c>
      <c r="C41" s="96">
        <v>490000</v>
      </c>
      <c r="D41" s="96">
        <v>650000</v>
      </c>
      <c r="E41" s="96">
        <f t="shared" si="4"/>
        <v>849434</v>
      </c>
      <c r="F41" s="96"/>
      <c r="G41" s="96"/>
      <c r="H41" s="96">
        <v>610083</v>
      </c>
      <c r="I41" s="96">
        <v>239351</v>
      </c>
      <c r="J41" s="89">
        <f>E41/C41*100</f>
        <v>173.35387755102042</v>
      </c>
      <c r="K41" s="89">
        <f>E41/D41*100</f>
        <v>130.68215384615385</v>
      </c>
      <c r="L41" s="121"/>
      <c r="M41" s="339"/>
      <c r="N41" s="434"/>
      <c r="O41" s="142"/>
    </row>
    <row r="42" spans="1:15" s="490" customFormat="1" ht="21" customHeight="1">
      <c r="A42" s="90" t="s">
        <v>45</v>
      </c>
      <c r="B42" s="91" t="s">
        <v>46</v>
      </c>
      <c r="C42" s="96">
        <v>0</v>
      </c>
      <c r="D42" s="96">
        <v>0</v>
      </c>
      <c r="E42" s="96">
        <f t="shared" si="4"/>
        <v>0</v>
      </c>
      <c r="F42" s="96"/>
      <c r="G42" s="96"/>
      <c r="H42" s="96"/>
      <c r="I42" s="96"/>
      <c r="J42" s="89"/>
      <c r="K42" s="89"/>
      <c r="L42" s="121"/>
      <c r="M42" s="339"/>
      <c r="N42" s="434"/>
      <c r="O42" s="142"/>
    </row>
    <row r="43" spans="1:15" s="490" customFormat="1" ht="21" customHeight="1">
      <c r="A43" s="90" t="s">
        <v>47</v>
      </c>
      <c r="B43" s="91" t="s">
        <v>48</v>
      </c>
      <c r="C43" s="96">
        <v>8000</v>
      </c>
      <c r="D43" s="96">
        <v>8000</v>
      </c>
      <c r="E43" s="96">
        <f t="shared" si="4"/>
        <v>12275</v>
      </c>
      <c r="F43" s="96"/>
      <c r="G43" s="96"/>
      <c r="H43" s="96"/>
      <c r="I43" s="96">
        <v>12275</v>
      </c>
      <c r="J43" s="89">
        <f>E43/C43*100</f>
        <v>153.4375</v>
      </c>
      <c r="K43" s="89">
        <f>E43/D43*100</f>
        <v>153.4375</v>
      </c>
      <c r="L43" s="121"/>
      <c r="M43" s="339"/>
      <c r="N43" s="434"/>
      <c r="O43" s="142"/>
    </row>
    <row r="44" spans="1:15" s="490" customFormat="1" ht="21" customHeight="1">
      <c r="A44" s="90" t="s">
        <v>49</v>
      </c>
      <c r="B44" s="91" t="s">
        <v>50</v>
      </c>
      <c r="C44" s="96">
        <v>600000</v>
      </c>
      <c r="D44" s="96">
        <v>910000</v>
      </c>
      <c r="E44" s="96">
        <f t="shared" si="4"/>
        <v>1493751</v>
      </c>
      <c r="F44" s="96"/>
      <c r="G44" s="96">
        <f>914669</f>
        <v>914669</v>
      </c>
      <c r="H44" s="96">
        <v>579082</v>
      </c>
      <c r="I44" s="96"/>
      <c r="J44" s="89">
        <f>E44/C44*100</f>
        <v>248.95849999999999</v>
      </c>
      <c r="K44" s="89">
        <f>E44/D44*100</f>
        <v>164.14846153846153</v>
      </c>
      <c r="L44" s="121"/>
      <c r="M44" s="339"/>
      <c r="N44" s="434"/>
      <c r="O44" s="142"/>
    </row>
    <row r="45" spans="1:15" s="490" customFormat="1" ht="21" customHeight="1">
      <c r="A45" s="90" t="s">
        <v>51</v>
      </c>
      <c r="B45" s="91" t="s">
        <v>52</v>
      </c>
      <c r="C45" s="96">
        <f>C46+C47</f>
        <v>210000</v>
      </c>
      <c r="D45" s="96">
        <f>D46+D47</f>
        <v>170000</v>
      </c>
      <c r="E45" s="96">
        <f t="shared" si="4"/>
        <v>148850</v>
      </c>
      <c r="F45" s="96">
        <v>77402</v>
      </c>
      <c r="G45" s="96">
        <f>71448</f>
        <v>71448</v>
      </c>
      <c r="H45" s="96"/>
      <c r="I45" s="96"/>
      <c r="J45" s="89">
        <f>E45/C45*100</f>
        <v>70.88095238095238</v>
      </c>
      <c r="K45" s="89">
        <f>E45/D45*100</f>
        <v>87.558823529411768</v>
      </c>
      <c r="L45" s="121"/>
      <c r="M45" s="339"/>
      <c r="N45" s="434"/>
      <c r="O45" s="142"/>
    </row>
    <row r="46" spans="1:15" s="464" customFormat="1" ht="18.75" customHeight="1">
      <c r="A46" s="95"/>
      <c r="B46" s="99" t="s">
        <v>202</v>
      </c>
      <c r="C46" s="462">
        <v>109200</v>
      </c>
      <c r="D46" s="462">
        <v>88400</v>
      </c>
      <c r="E46" s="462">
        <f t="shared" si="4"/>
        <v>0</v>
      </c>
      <c r="F46" s="462"/>
      <c r="G46" s="462"/>
      <c r="H46" s="462"/>
      <c r="I46" s="462"/>
      <c r="J46" s="463"/>
      <c r="K46" s="463"/>
      <c r="L46" s="487"/>
      <c r="M46" s="339"/>
      <c r="N46" s="348"/>
      <c r="O46" s="488"/>
    </row>
    <row r="47" spans="1:15" s="464" customFormat="1" ht="19.5" customHeight="1">
      <c r="A47" s="95"/>
      <c r="B47" s="99" t="s">
        <v>53</v>
      </c>
      <c r="C47" s="462">
        <v>100800</v>
      </c>
      <c r="D47" s="462">
        <v>81600</v>
      </c>
      <c r="E47" s="462">
        <f t="shared" si="4"/>
        <v>71448</v>
      </c>
      <c r="F47" s="462"/>
      <c r="G47" s="462">
        <f>G45</f>
        <v>71448</v>
      </c>
      <c r="H47" s="462"/>
      <c r="I47" s="462"/>
      <c r="J47" s="463"/>
      <c r="K47" s="463"/>
      <c r="L47" s="487"/>
      <c r="M47" s="339"/>
      <c r="N47" s="348"/>
      <c r="O47" s="488"/>
    </row>
    <row r="48" spans="1:15" s="490" customFormat="1" ht="24" customHeight="1">
      <c r="A48" s="90" t="s">
        <v>191</v>
      </c>
      <c r="B48" s="91" t="s">
        <v>54</v>
      </c>
      <c r="C48" s="96">
        <v>134000</v>
      </c>
      <c r="D48" s="96">
        <v>134000</v>
      </c>
      <c r="E48" s="96">
        <f t="shared" si="4"/>
        <v>144427</v>
      </c>
      <c r="F48" s="96">
        <v>35264</v>
      </c>
      <c r="G48" s="96">
        <v>39438</v>
      </c>
      <c r="H48" s="96">
        <v>58963</v>
      </c>
      <c r="I48" s="96">
        <v>10762</v>
      </c>
      <c r="J48" s="89">
        <f>E48/C48*100</f>
        <v>107.78134328358209</v>
      </c>
      <c r="K48" s="89">
        <f>E48/D48*100</f>
        <v>107.78134328358209</v>
      </c>
      <c r="L48" s="121"/>
      <c r="M48" s="339"/>
      <c r="N48" s="434"/>
      <c r="O48" s="142"/>
    </row>
    <row r="49" spans="1:20" s="464" customFormat="1" ht="31.5">
      <c r="A49" s="100"/>
      <c r="B49" s="99" t="s">
        <v>55</v>
      </c>
      <c r="C49" s="462"/>
      <c r="D49" s="462"/>
      <c r="E49" s="462">
        <f t="shared" si="4"/>
        <v>35264</v>
      </c>
      <c r="F49" s="462">
        <f>F48</f>
        <v>35264</v>
      </c>
      <c r="G49" s="462"/>
      <c r="H49" s="462"/>
      <c r="I49" s="462"/>
      <c r="J49" s="463"/>
      <c r="K49" s="463"/>
      <c r="L49" s="487"/>
      <c r="M49" s="339"/>
      <c r="N49" s="348"/>
      <c r="O49" s="488"/>
    </row>
    <row r="50" spans="1:20" s="464" customFormat="1" ht="31.5">
      <c r="A50" s="95"/>
      <c r="B50" s="99" t="s">
        <v>183</v>
      </c>
      <c r="C50" s="462"/>
      <c r="D50" s="462"/>
      <c r="E50" s="462">
        <f t="shared" si="4"/>
        <v>109163</v>
      </c>
      <c r="F50" s="462"/>
      <c r="G50" s="462">
        <f>G48</f>
        <v>39438</v>
      </c>
      <c r="H50" s="462">
        <f t="shared" ref="H50:I50" si="8">H48</f>
        <v>58963</v>
      </c>
      <c r="I50" s="462">
        <f t="shared" si="8"/>
        <v>10762</v>
      </c>
      <c r="J50" s="463"/>
      <c r="K50" s="463"/>
      <c r="L50" s="487"/>
      <c r="M50" s="339"/>
      <c r="N50" s="348"/>
      <c r="O50" s="488"/>
    </row>
    <row r="51" spans="1:20" s="464" customFormat="1" ht="31.5">
      <c r="A51" s="95"/>
      <c r="B51" s="99" t="s">
        <v>56</v>
      </c>
      <c r="C51" s="462"/>
      <c r="D51" s="462"/>
      <c r="E51" s="462">
        <f t="shared" si="4"/>
        <v>0</v>
      </c>
      <c r="F51" s="462"/>
      <c r="G51" s="462"/>
      <c r="H51" s="462"/>
      <c r="I51" s="462"/>
      <c r="J51" s="463"/>
      <c r="K51" s="463"/>
      <c r="L51" s="487"/>
      <c r="M51" s="339"/>
      <c r="N51" s="348"/>
      <c r="O51" s="488"/>
    </row>
    <row r="52" spans="1:20" s="490" customFormat="1" ht="25.5" customHeight="1">
      <c r="A52" s="90" t="s">
        <v>57</v>
      </c>
      <c r="B52" s="101" t="s">
        <v>58</v>
      </c>
      <c r="C52" s="96">
        <f>C53+C54</f>
        <v>4700000</v>
      </c>
      <c r="D52" s="96">
        <f>D53+D54</f>
        <v>5400000</v>
      </c>
      <c r="E52" s="96">
        <f t="shared" si="4"/>
        <v>4106899</v>
      </c>
      <c r="F52" s="96"/>
      <c r="G52" s="96">
        <v>1342135</v>
      </c>
      <c r="H52" s="96">
        <v>2764764</v>
      </c>
      <c r="I52" s="96"/>
      <c r="J52" s="89">
        <f>E52/C52*100</f>
        <v>87.380829787234035</v>
      </c>
      <c r="K52" s="89">
        <f>E52/D52*100</f>
        <v>76.053685185185188</v>
      </c>
      <c r="L52" s="121"/>
      <c r="M52" s="339"/>
      <c r="N52" s="434"/>
      <c r="O52" s="142"/>
    </row>
    <row r="53" spans="1:20" s="464" customFormat="1" ht="31.5">
      <c r="A53" s="97"/>
      <c r="B53" s="102" t="s">
        <v>195</v>
      </c>
      <c r="C53" s="462"/>
      <c r="D53" s="462"/>
      <c r="E53" s="489">
        <f t="shared" si="4"/>
        <v>0</v>
      </c>
      <c r="F53" s="462"/>
      <c r="G53" s="462"/>
      <c r="H53" s="462"/>
      <c r="I53" s="462"/>
      <c r="J53" s="463"/>
      <c r="K53" s="463"/>
      <c r="L53" s="487"/>
      <c r="M53" s="339"/>
      <c r="N53" s="348"/>
      <c r="O53" s="488"/>
    </row>
    <row r="54" spans="1:20" s="464" customFormat="1" ht="31.5">
      <c r="A54" s="95"/>
      <c r="B54" s="102" t="s">
        <v>59</v>
      </c>
      <c r="C54" s="462">
        <v>4700000</v>
      </c>
      <c r="D54" s="462">
        <v>5400000</v>
      </c>
      <c r="E54" s="462">
        <f t="shared" si="4"/>
        <v>4106899</v>
      </c>
      <c r="F54" s="462"/>
      <c r="G54" s="462">
        <f>G52</f>
        <v>1342135</v>
      </c>
      <c r="H54" s="462">
        <f t="shared" ref="H54:I54" si="9">H52</f>
        <v>2764764</v>
      </c>
      <c r="I54" s="462">
        <f t="shared" si="9"/>
        <v>0</v>
      </c>
      <c r="J54" s="463"/>
      <c r="K54" s="463"/>
      <c r="L54" s="487"/>
      <c r="M54" s="339"/>
      <c r="N54" s="348"/>
      <c r="O54" s="488"/>
    </row>
    <row r="55" spans="1:20" s="490" customFormat="1" ht="24.75" customHeight="1">
      <c r="A55" s="90" t="s">
        <v>60</v>
      </c>
      <c r="B55" s="91" t="s">
        <v>61</v>
      </c>
      <c r="C55" s="96">
        <v>606000</v>
      </c>
      <c r="D55" s="96">
        <v>1030000</v>
      </c>
      <c r="E55" s="96">
        <f t="shared" si="4"/>
        <v>1408999</v>
      </c>
      <c r="F55" s="96"/>
      <c r="G55" s="96">
        <v>1302146</v>
      </c>
      <c r="H55" s="96">
        <v>106853</v>
      </c>
      <c r="I55" s="96">
        <v>0</v>
      </c>
      <c r="J55" s="89">
        <f>E55/C55*100</f>
        <v>232.50808580858086</v>
      </c>
      <c r="K55" s="89">
        <f>E55/D55*100</f>
        <v>136.79601941747572</v>
      </c>
      <c r="L55" s="121"/>
      <c r="M55" s="339"/>
      <c r="N55" s="434"/>
      <c r="O55" s="142"/>
    </row>
    <row r="56" spans="1:20" s="434" customFormat="1" ht="24.75" customHeight="1">
      <c r="A56" s="90" t="s">
        <v>62</v>
      </c>
      <c r="B56" s="91" t="s">
        <v>66</v>
      </c>
      <c r="C56" s="96">
        <v>210000</v>
      </c>
      <c r="D56" s="96">
        <v>210000</v>
      </c>
      <c r="E56" s="96">
        <f t="shared" si="4"/>
        <v>325837.59999999998</v>
      </c>
      <c r="F56" s="96">
        <v>146610</v>
      </c>
      <c r="G56" s="96">
        <f>115519-0.4</f>
        <v>115518.6</v>
      </c>
      <c r="H56" s="96">
        <v>52811</v>
      </c>
      <c r="I56" s="96">
        <v>10898</v>
      </c>
      <c r="J56" s="89">
        <f>E56/C56*100</f>
        <v>155.1607619047619</v>
      </c>
      <c r="K56" s="89">
        <f>E56/D56*100</f>
        <v>155.1607619047619</v>
      </c>
      <c r="L56" s="121"/>
      <c r="M56" s="339"/>
      <c r="O56" s="142"/>
      <c r="P56" s="490"/>
      <c r="Q56" s="490"/>
      <c r="R56" s="490"/>
      <c r="S56" s="490"/>
      <c r="T56" s="490"/>
    </row>
    <row r="57" spans="1:20" s="19" customFormat="1" ht="23.25" customHeight="1">
      <c r="A57" s="97"/>
      <c r="B57" s="99" t="s">
        <v>194</v>
      </c>
      <c r="C57" s="94"/>
      <c r="D57" s="94"/>
      <c r="E57" s="94">
        <f t="shared" si="4"/>
        <v>0</v>
      </c>
      <c r="F57" s="94"/>
      <c r="G57" s="94"/>
      <c r="H57" s="94"/>
      <c r="I57" s="94"/>
      <c r="J57" s="115"/>
      <c r="K57" s="115"/>
      <c r="L57" s="339"/>
      <c r="M57" s="339"/>
      <c r="O57" s="37"/>
      <c r="P57" s="58"/>
      <c r="Q57" s="58"/>
      <c r="R57" s="58"/>
      <c r="S57" s="58"/>
      <c r="T57" s="58"/>
    </row>
    <row r="58" spans="1:20" s="434" customFormat="1" ht="24" customHeight="1">
      <c r="A58" s="90" t="s">
        <v>63</v>
      </c>
      <c r="B58" s="474" t="s">
        <v>67</v>
      </c>
      <c r="C58" s="96">
        <v>62000</v>
      </c>
      <c r="D58" s="96">
        <v>78000</v>
      </c>
      <c r="E58" s="96">
        <f t="shared" si="4"/>
        <v>89920</v>
      </c>
      <c r="F58" s="96">
        <v>35216</v>
      </c>
      <c r="G58" s="96">
        <v>54401</v>
      </c>
      <c r="H58" s="96">
        <v>303</v>
      </c>
      <c r="I58" s="96"/>
      <c r="J58" s="89">
        <f t="shared" ref="J58:J66" si="10">E58/C58*100</f>
        <v>145.03225806451613</v>
      </c>
      <c r="K58" s="89">
        <f t="shared" ref="K58:K66" si="11">E58/D58*100</f>
        <v>115.28205128205128</v>
      </c>
      <c r="L58" s="121"/>
      <c r="M58" s="339"/>
      <c r="O58" s="142"/>
      <c r="P58" s="490"/>
      <c r="Q58" s="490"/>
      <c r="R58" s="490"/>
      <c r="S58" s="490"/>
      <c r="T58" s="490"/>
    </row>
    <row r="59" spans="1:20" s="434" customFormat="1" ht="24" customHeight="1">
      <c r="A59" s="90" t="s">
        <v>64</v>
      </c>
      <c r="B59" s="91" t="s">
        <v>68</v>
      </c>
      <c r="C59" s="96">
        <v>0</v>
      </c>
      <c r="D59" s="96">
        <v>0</v>
      </c>
      <c r="E59" s="96">
        <f t="shared" si="4"/>
        <v>368</v>
      </c>
      <c r="F59" s="96"/>
      <c r="G59" s="96"/>
      <c r="H59" s="96"/>
      <c r="I59" s="96">
        <v>368</v>
      </c>
      <c r="J59" s="89"/>
      <c r="K59" s="89"/>
      <c r="L59" s="121"/>
      <c r="M59" s="339"/>
      <c r="O59" s="142"/>
      <c r="P59" s="490"/>
      <c r="Q59" s="490"/>
      <c r="R59" s="490"/>
      <c r="S59" s="490"/>
      <c r="T59" s="490"/>
    </row>
    <row r="60" spans="1:20" s="434" customFormat="1" ht="24" customHeight="1">
      <c r="A60" s="90" t="s">
        <v>65</v>
      </c>
      <c r="B60" s="91" t="s">
        <v>69</v>
      </c>
      <c r="C60" s="96">
        <v>10000</v>
      </c>
      <c r="D60" s="96">
        <v>10000</v>
      </c>
      <c r="E60" s="96">
        <f t="shared" si="4"/>
        <v>11642</v>
      </c>
      <c r="F60" s="96"/>
      <c r="G60" s="96">
        <v>11642</v>
      </c>
      <c r="H60" s="96"/>
      <c r="I60" s="96"/>
      <c r="J60" s="89">
        <f t="shared" si="10"/>
        <v>116.41999999999999</v>
      </c>
      <c r="K60" s="89">
        <f t="shared" si="11"/>
        <v>116.41999999999999</v>
      </c>
      <c r="L60" s="121"/>
      <c r="M60" s="339"/>
      <c r="O60" s="142"/>
      <c r="P60" s="490"/>
      <c r="Q60" s="490"/>
      <c r="R60" s="490"/>
      <c r="S60" s="490"/>
      <c r="T60" s="490"/>
    </row>
    <row r="61" spans="1:20" s="434" customFormat="1" ht="24" customHeight="1">
      <c r="A61" s="90" t="s">
        <v>201</v>
      </c>
      <c r="B61" s="91" t="s">
        <v>70</v>
      </c>
      <c r="C61" s="96">
        <v>820000</v>
      </c>
      <c r="D61" s="96">
        <v>850000</v>
      </c>
      <c r="E61" s="96">
        <f t="shared" si="4"/>
        <v>962895.6</v>
      </c>
      <c r="F61" s="96"/>
      <c r="G61" s="96">
        <f>962896-0.4</f>
        <v>962895.6</v>
      </c>
      <c r="H61" s="96"/>
      <c r="I61" s="96"/>
      <c r="J61" s="89">
        <f t="shared" si="10"/>
        <v>117.42629268292684</v>
      </c>
      <c r="K61" s="89">
        <f t="shared" si="11"/>
        <v>113.28183529411764</v>
      </c>
      <c r="L61" s="121"/>
      <c r="M61" s="339"/>
      <c r="O61" s="142"/>
      <c r="P61" s="490"/>
      <c r="Q61" s="490"/>
      <c r="R61" s="490"/>
      <c r="S61" s="490"/>
      <c r="T61" s="490"/>
    </row>
    <row r="62" spans="1:20" s="19" customFormat="1" ht="24" customHeight="1">
      <c r="A62" s="106" t="s">
        <v>71</v>
      </c>
      <c r="B62" s="104" t="s">
        <v>74</v>
      </c>
      <c r="C62" s="96">
        <f t="shared" ref="C62:I62" si="12">SUM(C63:C69)</f>
        <v>1150000</v>
      </c>
      <c r="D62" s="96">
        <f t="shared" si="12"/>
        <v>1150000</v>
      </c>
      <c r="E62" s="96">
        <f>SUM(E63:E69)</f>
        <v>1044030</v>
      </c>
      <c r="F62" s="96">
        <f t="shared" si="12"/>
        <v>1044030</v>
      </c>
      <c r="G62" s="96">
        <f t="shared" si="12"/>
        <v>0</v>
      </c>
      <c r="H62" s="96">
        <f t="shared" si="12"/>
        <v>0</v>
      </c>
      <c r="I62" s="96">
        <f t="shared" si="12"/>
        <v>0</v>
      </c>
      <c r="J62" s="115">
        <f t="shared" si="10"/>
        <v>90.785217391304357</v>
      </c>
      <c r="K62" s="115">
        <f t="shared" si="11"/>
        <v>90.785217391304357</v>
      </c>
      <c r="L62" s="339"/>
      <c r="M62" s="339"/>
      <c r="O62" s="37"/>
      <c r="P62" s="58"/>
      <c r="Q62" s="58"/>
      <c r="R62" s="58"/>
      <c r="S62" s="58"/>
      <c r="T62" s="58"/>
    </row>
    <row r="63" spans="1:20" s="19" customFormat="1" ht="24" customHeight="1">
      <c r="A63" s="103">
        <v>1</v>
      </c>
      <c r="B63" s="105" t="s">
        <v>75</v>
      </c>
      <c r="C63" s="94">
        <v>105000</v>
      </c>
      <c r="D63" s="94">
        <v>105000</v>
      </c>
      <c r="E63" s="94">
        <f t="shared" si="4"/>
        <v>78320</v>
      </c>
      <c r="F63" s="94">
        <v>78320</v>
      </c>
      <c r="G63" s="94"/>
      <c r="H63" s="94"/>
      <c r="I63" s="94"/>
      <c r="J63" s="115">
        <f t="shared" si="10"/>
        <v>74.590476190476195</v>
      </c>
      <c r="K63" s="115">
        <f t="shared" si="11"/>
        <v>74.590476190476195</v>
      </c>
      <c r="L63" s="339"/>
      <c r="M63" s="339"/>
      <c r="O63" s="37"/>
      <c r="P63" s="58"/>
      <c r="Q63" s="58"/>
      <c r="R63" s="58"/>
      <c r="S63" s="58"/>
      <c r="T63" s="58"/>
    </row>
    <row r="64" spans="1:20" s="19" customFormat="1" ht="24" customHeight="1">
      <c r="A64" s="103">
        <v>2</v>
      </c>
      <c r="B64" s="105" t="s">
        <v>76</v>
      </c>
      <c r="C64" s="94">
        <v>140000</v>
      </c>
      <c r="D64" s="94">
        <v>140000</v>
      </c>
      <c r="E64" s="94">
        <f t="shared" si="4"/>
        <v>136685</v>
      </c>
      <c r="F64" s="94">
        <v>136685</v>
      </c>
      <c r="G64" s="94"/>
      <c r="H64" s="94"/>
      <c r="I64" s="94"/>
      <c r="J64" s="115">
        <f t="shared" si="10"/>
        <v>97.632142857142853</v>
      </c>
      <c r="K64" s="115">
        <f t="shared" si="11"/>
        <v>97.632142857142853</v>
      </c>
      <c r="L64" s="339"/>
      <c r="M64" s="339"/>
      <c r="O64" s="37"/>
      <c r="P64" s="58"/>
      <c r="Q64" s="58"/>
      <c r="R64" s="58"/>
      <c r="S64" s="58"/>
      <c r="T64" s="58"/>
    </row>
    <row r="65" spans="1:20" s="19" customFormat="1" ht="24" customHeight="1">
      <c r="A65" s="103">
        <v>3</v>
      </c>
      <c r="B65" s="105" t="s">
        <v>203</v>
      </c>
      <c r="C65" s="94">
        <v>809400</v>
      </c>
      <c r="D65" s="94">
        <v>809400</v>
      </c>
      <c r="E65" s="94">
        <f t="shared" ref="E65:E72" si="13">SUM(F65:I65)</f>
        <v>819147</v>
      </c>
      <c r="F65" s="94">
        <v>819147</v>
      </c>
      <c r="G65" s="94"/>
      <c r="H65" s="94"/>
      <c r="I65" s="94"/>
      <c r="J65" s="115">
        <f t="shared" si="10"/>
        <v>101.20422535211269</v>
      </c>
      <c r="K65" s="115">
        <f t="shared" si="11"/>
        <v>101.20422535211269</v>
      </c>
      <c r="L65" s="339"/>
      <c r="M65" s="339"/>
      <c r="O65" s="37"/>
      <c r="P65" s="58"/>
      <c r="Q65" s="58"/>
      <c r="R65" s="58"/>
      <c r="S65" s="58"/>
      <c r="T65" s="58"/>
    </row>
    <row r="66" spans="1:20" s="19" customFormat="1" ht="24" customHeight="1">
      <c r="A66" s="103">
        <v>4</v>
      </c>
      <c r="B66" s="105" t="s">
        <v>77</v>
      </c>
      <c r="C66" s="94">
        <v>200</v>
      </c>
      <c r="D66" s="94">
        <v>200</v>
      </c>
      <c r="E66" s="94">
        <f t="shared" si="13"/>
        <v>624</v>
      </c>
      <c r="F66" s="94">
        <v>624</v>
      </c>
      <c r="G66" s="94"/>
      <c r="H66" s="94"/>
      <c r="I66" s="94"/>
      <c r="J66" s="89">
        <f t="shared" si="10"/>
        <v>312</v>
      </c>
      <c r="K66" s="89">
        <f t="shared" si="11"/>
        <v>312</v>
      </c>
      <c r="L66" s="121"/>
      <c r="M66" s="339"/>
      <c r="O66" s="37"/>
      <c r="P66" s="58"/>
      <c r="Q66" s="58"/>
      <c r="R66" s="58"/>
      <c r="S66" s="58"/>
      <c r="T66" s="58"/>
    </row>
    <row r="67" spans="1:20" s="19" customFormat="1" ht="24" customHeight="1">
      <c r="A67" s="103">
        <v>5</v>
      </c>
      <c r="B67" s="105" t="s">
        <v>205</v>
      </c>
      <c r="C67" s="94">
        <v>95400</v>
      </c>
      <c r="D67" s="94">
        <v>95400</v>
      </c>
      <c r="E67" s="94">
        <f t="shared" si="13"/>
        <v>1139</v>
      </c>
      <c r="F67" s="94">
        <v>1139</v>
      </c>
      <c r="G67" s="94"/>
      <c r="H67" s="94"/>
      <c r="I67" s="94"/>
      <c r="J67" s="89"/>
      <c r="K67" s="89"/>
      <c r="L67" s="121"/>
      <c r="M67" s="339"/>
      <c r="O67" s="37"/>
      <c r="P67" s="58"/>
      <c r="Q67" s="58"/>
      <c r="R67" s="58"/>
      <c r="S67" s="58"/>
      <c r="T67" s="58"/>
    </row>
    <row r="68" spans="1:20" s="19" customFormat="1" ht="24" customHeight="1">
      <c r="A68" s="103">
        <v>6</v>
      </c>
      <c r="B68" s="105" t="s">
        <v>465</v>
      </c>
      <c r="C68" s="94"/>
      <c r="D68" s="94"/>
      <c r="E68" s="94">
        <f t="shared" si="13"/>
        <v>4396</v>
      </c>
      <c r="F68" s="94">
        <v>4396</v>
      </c>
      <c r="G68" s="94"/>
      <c r="H68" s="94"/>
      <c r="I68" s="94"/>
      <c r="J68" s="89"/>
      <c r="K68" s="89"/>
      <c r="L68" s="121"/>
      <c r="M68" s="339"/>
      <c r="O68" s="37"/>
      <c r="P68" s="58"/>
      <c r="Q68" s="58"/>
      <c r="R68" s="58"/>
      <c r="S68" s="58"/>
      <c r="T68" s="58"/>
    </row>
    <row r="69" spans="1:20" s="19" customFormat="1" ht="24" customHeight="1">
      <c r="A69" s="103">
        <v>7</v>
      </c>
      <c r="B69" s="105" t="s">
        <v>72</v>
      </c>
      <c r="C69" s="94"/>
      <c r="D69" s="94"/>
      <c r="E69" s="94">
        <f t="shared" si="13"/>
        <v>3719</v>
      </c>
      <c r="F69" s="94">
        <v>3719</v>
      </c>
      <c r="G69" s="94"/>
      <c r="H69" s="94"/>
      <c r="I69" s="94"/>
      <c r="J69" s="89"/>
      <c r="K69" s="89"/>
      <c r="L69" s="121"/>
      <c r="M69" s="339"/>
      <c r="O69" s="37"/>
      <c r="P69" s="58"/>
      <c r="Q69" s="58"/>
      <c r="R69" s="58"/>
      <c r="S69" s="58"/>
      <c r="T69" s="58"/>
    </row>
    <row r="70" spans="1:20" s="19" customFormat="1" ht="24" customHeight="1">
      <c r="A70" s="106" t="s">
        <v>73</v>
      </c>
      <c r="B70" s="109" t="s">
        <v>189</v>
      </c>
      <c r="C70" s="96"/>
      <c r="D70" s="96">
        <f>SUM(D71:D72)</f>
        <v>0</v>
      </c>
      <c r="E70" s="96">
        <f t="shared" ref="E70:I70" si="14">SUM(E71:E72)</f>
        <v>9226</v>
      </c>
      <c r="F70" s="96">
        <f t="shared" si="14"/>
        <v>0</v>
      </c>
      <c r="G70" s="96">
        <f>SUM(G71:G72)</f>
        <v>1000</v>
      </c>
      <c r="H70" s="96">
        <f t="shared" si="14"/>
        <v>337</v>
      </c>
      <c r="I70" s="96">
        <f t="shared" si="14"/>
        <v>7889</v>
      </c>
      <c r="J70" s="89"/>
      <c r="K70" s="89">
        <v>0</v>
      </c>
      <c r="L70" s="121"/>
      <c r="M70" s="339"/>
      <c r="O70" s="37"/>
      <c r="P70" s="58"/>
      <c r="Q70" s="58"/>
      <c r="R70" s="58"/>
      <c r="S70" s="58"/>
      <c r="T70" s="58"/>
    </row>
    <row r="71" spans="1:20" s="19" customFormat="1" ht="24" customHeight="1">
      <c r="A71" s="131">
        <v>1</v>
      </c>
      <c r="B71" s="132" t="s">
        <v>190</v>
      </c>
      <c r="C71" s="133"/>
      <c r="D71" s="133">
        <v>0</v>
      </c>
      <c r="E71" s="133">
        <f t="shared" si="13"/>
        <v>9226</v>
      </c>
      <c r="F71" s="133">
        <v>0</v>
      </c>
      <c r="G71" s="133">
        <v>1000</v>
      </c>
      <c r="H71" s="133">
        <v>337</v>
      </c>
      <c r="I71" s="133">
        <v>7889</v>
      </c>
      <c r="J71" s="134"/>
      <c r="K71" s="135">
        <v>0</v>
      </c>
      <c r="L71" s="339"/>
      <c r="M71" s="339"/>
      <c r="O71" s="37"/>
      <c r="P71" s="58"/>
      <c r="Q71" s="58"/>
      <c r="R71" s="58"/>
      <c r="S71" s="58"/>
      <c r="T71" s="58"/>
    </row>
    <row r="72" spans="1:20" s="19" customFormat="1" ht="24" customHeight="1">
      <c r="A72" s="136">
        <v>2</v>
      </c>
      <c r="B72" s="137" t="s">
        <v>207</v>
      </c>
      <c r="C72" s="138"/>
      <c r="D72" s="138"/>
      <c r="E72" s="138">
        <f t="shared" si="13"/>
        <v>0</v>
      </c>
      <c r="F72" s="138"/>
      <c r="G72" s="138"/>
      <c r="H72" s="138"/>
      <c r="I72" s="138"/>
      <c r="J72" s="139"/>
      <c r="K72" s="140"/>
      <c r="L72" s="339"/>
      <c r="M72" s="339"/>
      <c r="O72" s="37"/>
      <c r="P72" s="58"/>
      <c r="Q72" s="58"/>
      <c r="R72" s="58"/>
      <c r="S72" s="58"/>
      <c r="T72" s="58"/>
    </row>
    <row r="73" spans="1:20" s="19" customFormat="1" ht="24" customHeight="1">
      <c r="A73" s="65"/>
      <c r="B73" s="120"/>
      <c r="C73" s="70"/>
      <c r="D73" s="70"/>
      <c r="E73" s="70"/>
      <c r="F73" s="70"/>
      <c r="G73" s="70"/>
      <c r="H73" s="70"/>
      <c r="I73" s="70"/>
      <c r="J73" s="121"/>
      <c r="K73" s="121"/>
      <c r="L73" s="121"/>
      <c r="M73" s="121"/>
      <c r="O73" s="37"/>
      <c r="P73" s="58"/>
      <c r="Q73" s="58"/>
      <c r="R73" s="58"/>
      <c r="S73" s="58"/>
      <c r="T73" s="58"/>
    </row>
  </sheetData>
  <mergeCells count="10">
    <mergeCell ref="J5:K5"/>
    <mergeCell ref="A6:A8"/>
    <mergeCell ref="B6:B8"/>
    <mergeCell ref="A1:B1"/>
    <mergeCell ref="A3:K3"/>
    <mergeCell ref="A4:K4"/>
    <mergeCell ref="C6:D6"/>
    <mergeCell ref="J6:K6"/>
    <mergeCell ref="H1:K1"/>
    <mergeCell ref="H2:K2"/>
  </mergeCells>
  <pageMargins left="0.32" right="0.22" top="0.44" bottom="0.43" header="0.23622047244094499" footer="0.15748031496063"/>
  <pageSetup paperSize="9" scale="80" orientation="landscape" horizontalDpi="4294967295" verticalDpi="4294967295" r:id="rId1"/>
  <headerFooter differentFirst="1" alignWithMargins="0">
    <oddHeader xml:space="preserve">&amp;C                                                                                                                                  </oddHead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opLeftCell="A6" zoomScale="70" zoomScaleNormal="70" workbookViewId="0">
      <pane ySplit="5" topLeftCell="A38" activePane="bottomLeft" state="frozen"/>
      <selection activeCell="L24" sqref="L24"/>
      <selection pane="bottomLeft" activeCell="F46" sqref="F46"/>
    </sheetView>
  </sheetViews>
  <sheetFormatPr defaultRowHeight="15.75"/>
  <cols>
    <col min="1" max="1" width="6.625" style="18" customWidth="1"/>
    <col min="2" max="2" width="58.125" style="18" customWidth="1"/>
    <col min="3" max="3" width="14.875" style="18" bestFit="1" customWidth="1"/>
    <col min="4" max="4" width="13.625" style="18" bestFit="1" customWidth="1"/>
    <col min="5" max="5" width="16.625" style="18" customWidth="1"/>
    <col min="6" max="7" width="16.125" style="18" bestFit="1" customWidth="1"/>
    <col min="8" max="8" width="15" style="18" bestFit="1" customWidth="1"/>
    <col min="9" max="9" width="9.25" style="18" customWidth="1"/>
    <col min="10" max="10" width="10.625" style="18" customWidth="1"/>
    <col min="11" max="11" width="12.25" style="19" bestFit="1" customWidth="1"/>
    <col min="12" max="12" width="19" style="19" bestFit="1" customWidth="1"/>
    <col min="13" max="13" width="16.375" style="19" bestFit="1" customWidth="1"/>
    <col min="14" max="14" width="13.875" style="19" bestFit="1" customWidth="1"/>
    <col min="15" max="16384" width="9" style="18"/>
  </cols>
  <sheetData>
    <row r="1" spans="1:14" ht="21" customHeight="1">
      <c r="A1" s="17" t="str">
        <f>'61 (2)'!A1:B1</f>
        <v>HỘI NHÂN DÂN TỈNH BÌNH PHƯỚC</v>
      </c>
      <c r="B1" s="17"/>
      <c r="C1" s="17"/>
      <c r="D1" s="17"/>
      <c r="E1" s="17"/>
      <c r="F1" s="17"/>
      <c r="G1" s="733" t="s">
        <v>197</v>
      </c>
      <c r="H1" s="733"/>
      <c r="I1" s="733"/>
      <c r="J1" s="733"/>
    </row>
    <row r="2" spans="1:14" ht="48.75" customHeight="1">
      <c r="A2" s="20"/>
      <c r="G2" s="732" t="s">
        <v>339</v>
      </c>
      <c r="H2" s="732"/>
      <c r="I2" s="732"/>
      <c r="J2" s="732"/>
    </row>
    <row r="3" spans="1:14" ht="33" customHeight="1">
      <c r="A3" s="734" t="s">
        <v>508</v>
      </c>
      <c r="B3" s="734"/>
      <c r="C3" s="734"/>
      <c r="D3" s="734"/>
      <c r="E3" s="734"/>
      <c r="F3" s="734"/>
      <c r="G3" s="734"/>
      <c r="H3" s="734"/>
      <c r="I3" s="734"/>
      <c r="J3" s="734"/>
    </row>
    <row r="4" spans="1:14" ht="27" customHeight="1">
      <c r="A4" s="735" t="str">
        <f>'61 (2)'!A4:K4</f>
        <v>(Kèm theo Nghị quyết số:         /NQ-HĐND ngày      tháng  12  năm 2023 của Hội đồng nhân dân tỉnh)</v>
      </c>
      <c r="B4" s="735"/>
      <c r="C4" s="735"/>
      <c r="D4" s="735"/>
      <c r="E4" s="735"/>
      <c r="F4" s="735"/>
      <c r="G4" s="735"/>
      <c r="H4" s="735"/>
      <c r="I4" s="735"/>
      <c r="J4" s="735"/>
    </row>
    <row r="5" spans="1:14" ht="16.5" customHeight="1">
      <c r="A5" s="373"/>
      <c r="B5" s="373"/>
      <c r="C5" s="373"/>
      <c r="D5" s="373"/>
      <c r="E5" s="373"/>
      <c r="F5" s="373"/>
      <c r="G5" s="374"/>
      <c r="H5" s="374"/>
      <c r="I5" s="373"/>
      <c r="J5" s="373"/>
    </row>
    <row r="6" spans="1:14" ht="15.75" customHeight="1">
      <c r="A6" s="374"/>
      <c r="B6" s="374"/>
      <c r="C6" s="374"/>
      <c r="D6" s="374"/>
      <c r="E6" s="374"/>
      <c r="F6" s="374"/>
      <c r="G6" s="374"/>
      <c r="H6" s="374"/>
      <c r="I6" s="374"/>
      <c r="J6" s="374"/>
    </row>
    <row r="7" spans="1:14" ht="24.75" customHeight="1">
      <c r="E7" s="343"/>
      <c r="F7" s="343"/>
      <c r="G7" s="343"/>
      <c r="H7" s="736" t="s">
        <v>165</v>
      </c>
      <c r="I7" s="736"/>
      <c r="J7" s="736"/>
    </row>
    <row r="8" spans="1:14" ht="36" customHeight="1">
      <c r="A8" s="737" t="s">
        <v>18</v>
      </c>
      <c r="B8" s="737" t="s">
        <v>186</v>
      </c>
      <c r="C8" s="740" t="s">
        <v>150</v>
      </c>
      <c r="D8" s="741"/>
      <c r="E8" s="740" t="s">
        <v>151</v>
      </c>
      <c r="F8" s="742"/>
      <c r="G8" s="742"/>
      <c r="H8" s="741"/>
      <c r="I8" s="743" t="s">
        <v>187</v>
      </c>
      <c r="J8" s="741"/>
    </row>
    <row r="9" spans="1:14" ht="26.25" customHeight="1">
      <c r="A9" s="738"/>
      <c r="B9" s="738"/>
      <c r="C9" s="74" t="s">
        <v>19</v>
      </c>
      <c r="D9" s="75" t="s">
        <v>147</v>
      </c>
      <c r="E9" s="75" t="s">
        <v>144</v>
      </c>
      <c r="F9" s="75" t="s">
        <v>4</v>
      </c>
      <c r="G9" s="75" t="s">
        <v>4</v>
      </c>
      <c r="H9" s="75" t="s">
        <v>4</v>
      </c>
      <c r="I9" s="74" t="s">
        <v>19</v>
      </c>
      <c r="J9" s="75" t="s">
        <v>147</v>
      </c>
    </row>
    <row r="10" spans="1:14" ht="21.75" customHeight="1">
      <c r="A10" s="739"/>
      <c r="B10" s="739"/>
      <c r="C10" s="76" t="s">
        <v>21</v>
      </c>
      <c r="D10" s="76" t="s">
        <v>146</v>
      </c>
      <c r="E10" s="76" t="s">
        <v>148</v>
      </c>
      <c r="F10" s="76" t="s">
        <v>145</v>
      </c>
      <c r="G10" s="76" t="s">
        <v>142</v>
      </c>
      <c r="H10" s="76" t="s">
        <v>149</v>
      </c>
      <c r="I10" s="76" t="s">
        <v>21</v>
      </c>
      <c r="J10" s="76" t="s">
        <v>146</v>
      </c>
    </row>
    <row r="11" spans="1:14" s="22" customFormat="1" ht="16.5" customHeight="1">
      <c r="A11" s="80" t="s">
        <v>1</v>
      </c>
      <c r="B11" s="80" t="s">
        <v>2</v>
      </c>
      <c r="C11" s="81" t="s">
        <v>23</v>
      </c>
      <c r="D11" s="81" t="s">
        <v>24</v>
      </c>
      <c r="E11" s="81" t="s">
        <v>102</v>
      </c>
      <c r="F11" s="82" t="s">
        <v>26</v>
      </c>
      <c r="G11" s="81" t="s">
        <v>27</v>
      </c>
      <c r="H11" s="81" t="s">
        <v>28</v>
      </c>
      <c r="I11" s="81" t="s">
        <v>103</v>
      </c>
      <c r="J11" s="81" t="s">
        <v>104</v>
      </c>
      <c r="K11" s="346"/>
      <c r="L11" s="346"/>
      <c r="M11" s="346"/>
      <c r="N11" s="346"/>
    </row>
    <row r="12" spans="1:14" ht="25.5" customHeight="1">
      <c r="A12" s="23" t="s">
        <v>1</v>
      </c>
      <c r="B12" s="24" t="s">
        <v>185</v>
      </c>
      <c r="C12" s="25">
        <f t="shared" ref="C12:H12" si="0">C13+C16+C20+SUM(C33:C40)</f>
        <v>14488165</v>
      </c>
      <c r="D12" s="25">
        <f t="shared" si="0"/>
        <v>18488000</v>
      </c>
      <c r="E12" s="25">
        <f t="shared" si="0"/>
        <v>22757859.800000001</v>
      </c>
      <c r="F12" s="25">
        <f t="shared" si="0"/>
        <v>9703907.8000000007</v>
      </c>
      <c r="G12" s="25">
        <f t="shared" si="0"/>
        <v>10712413.4</v>
      </c>
      <c r="H12" s="25">
        <f t="shared" si="0"/>
        <v>2341538.6</v>
      </c>
      <c r="I12" s="26">
        <f>E12/C12*100</f>
        <v>157.07896617687609</v>
      </c>
      <c r="J12" s="27">
        <f>E12/D12*100</f>
        <v>123.09530398096062</v>
      </c>
    </row>
    <row r="13" spans="1:14" ht="25.5" customHeight="1">
      <c r="A13" s="28" t="s">
        <v>86</v>
      </c>
      <c r="B13" s="13" t="s">
        <v>152</v>
      </c>
      <c r="C13" s="29">
        <f t="shared" ref="C13:H13" si="1">C14+SUM(C15:C15)</f>
        <v>6060140</v>
      </c>
      <c r="D13" s="29">
        <f t="shared" si="1"/>
        <v>7481382</v>
      </c>
      <c r="E13" s="29">
        <f t="shared" si="1"/>
        <v>6450021</v>
      </c>
      <c r="F13" s="29">
        <f t="shared" si="1"/>
        <v>2990580</v>
      </c>
      <c r="G13" s="29">
        <f t="shared" si="1"/>
        <v>2533943</v>
      </c>
      <c r="H13" s="29">
        <f t="shared" si="1"/>
        <v>925498</v>
      </c>
      <c r="I13" s="30">
        <f>E13/C13*100</f>
        <v>106.43353123855223</v>
      </c>
      <c r="J13" s="31">
        <f>E13/D13*100</f>
        <v>86.214298374284326</v>
      </c>
    </row>
    <row r="14" spans="1:14" ht="25.5" customHeight="1">
      <c r="A14" s="35">
        <v>1</v>
      </c>
      <c r="B14" s="36" t="s">
        <v>105</v>
      </c>
      <c r="C14" s="32">
        <v>6060140</v>
      </c>
      <c r="D14" s="32">
        <v>7481382</v>
      </c>
      <c r="E14" s="32">
        <f>SUM(F14:H14)</f>
        <v>6440021</v>
      </c>
      <c r="F14" s="30">
        <f>2981580-F41</f>
        <v>2980580</v>
      </c>
      <c r="G14" s="30">
        <f>2534280-G41</f>
        <v>2533943</v>
      </c>
      <c r="H14" s="30">
        <f>933387-H41</f>
        <v>925498</v>
      </c>
      <c r="I14" s="30">
        <f>E14/C14*100</f>
        <v>106.26851854907642</v>
      </c>
      <c r="J14" s="31">
        <f>E14/D14*100</f>
        <v>86.080633230598309</v>
      </c>
      <c r="L14" s="19">
        <f>6459247-E13</f>
        <v>9226</v>
      </c>
    </row>
    <row r="15" spans="1:14" ht="25.5" customHeight="1">
      <c r="A15" s="11">
        <v>2</v>
      </c>
      <c r="B15" s="12" t="s">
        <v>110</v>
      </c>
      <c r="C15" s="30"/>
      <c r="D15" s="30"/>
      <c r="E15" s="32">
        <f>SUM(F15:H15)</f>
        <v>10000</v>
      </c>
      <c r="F15" s="30">
        <v>10000</v>
      </c>
      <c r="G15" s="30"/>
      <c r="H15" s="30"/>
      <c r="I15" s="30"/>
      <c r="J15" s="33"/>
    </row>
    <row r="16" spans="1:14" ht="25.5" customHeight="1">
      <c r="A16" s="28" t="s">
        <v>71</v>
      </c>
      <c r="B16" s="13" t="s">
        <v>534</v>
      </c>
      <c r="C16" s="30"/>
      <c r="D16" s="30"/>
      <c r="E16" s="34">
        <f>SUM(F16:H16)</f>
        <v>10657</v>
      </c>
      <c r="F16" s="34">
        <f>2496+8161</f>
        <v>10657</v>
      </c>
      <c r="G16" s="30"/>
      <c r="H16" s="30"/>
      <c r="I16" s="30"/>
      <c r="J16" s="33"/>
      <c r="L16" s="19">
        <f>L14-E40</f>
        <v>0</v>
      </c>
    </row>
    <row r="17" spans="1:14" ht="25.5" customHeight="1">
      <c r="A17" s="35"/>
      <c r="B17" s="36" t="s">
        <v>246</v>
      </c>
      <c r="C17" s="30"/>
      <c r="D17" s="30"/>
      <c r="E17" s="30"/>
      <c r="F17" s="30"/>
      <c r="G17" s="30"/>
      <c r="H17" s="30"/>
      <c r="I17" s="30"/>
      <c r="J17" s="33"/>
    </row>
    <row r="18" spans="1:14" ht="25.5" customHeight="1">
      <c r="A18" s="35"/>
      <c r="B18" s="36" t="s">
        <v>532</v>
      </c>
      <c r="C18" s="30"/>
      <c r="D18" s="30"/>
      <c r="E18" s="30">
        <f t="shared" ref="E18:E19" si="2">SUM(F18:H18)</f>
        <v>8161</v>
      </c>
      <c r="F18" s="30">
        <v>8161</v>
      </c>
      <c r="G18" s="30"/>
      <c r="H18" s="30"/>
      <c r="I18" s="30"/>
      <c r="J18" s="33"/>
    </row>
    <row r="19" spans="1:14" ht="25.5" customHeight="1">
      <c r="A19" s="35"/>
      <c r="B19" s="36" t="s">
        <v>533</v>
      </c>
      <c r="C19" s="30"/>
      <c r="D19" s="30"/>
      <c r="E19" s="30">
        <f t="shared" si="2"/>
        <v>2496</v>
      </c>
      <c r="F19" s="30">
        <v>2496</v>
      </c>
      <c r="G19" s="30"/>
      <c r="H19" s="30"/>
      <c r="I19" s="30"/>
      <c r="J19" s="33"/>
    </row>
    <row r="20" spans="1:14" ht="25.5" customHeight="1">
      <c r="A20" s="28" t="s">
        <v>73</v>
      </c>
      <c r="B20" s="13" t="s">
        <v>154</v>
      </c>
      <c r="C20" s="34">
        <v>6990109</v>
      </c>
      <c r="D20" s="34">
        <f>SUM(D21:D32)</f>
        <v>8802907</v>
      </c>
      <c r="E20" s="34">
        <f>SUM(E21:E32)</f>
        <v>7245688.2000000011</v>
      </c>
      <c r="F20" s="34">
        <f>SUM(F21:F32)</f>
        <v>1725520.7999999998</v>
      </c>
      <c r="G20" s="34">
        <f>SUM(G21:G32)</f>
        <v>4546496.4000000004</v>
      </c>
      <c r="H20" s="34">
        <f>SUM(H21:H32)</f>
        <v>973671</v>
      </c>
      <c r="I20" s="30">
        <f>E20/C20*100</f>
        <v>103.65629777733081</v>
      </c>
      <c r="J20" s="30">
        <f>E20/D20*100</f>
        <v>82.310175490891822</v>
      </c>
      <c r="L20" s="19">
        <f>1725520-F20</f>
        <v>-0.79999999981373549</v>
      </c>
      <c r="M20" s="19">
        <f>4535596-G20</f>
        <v>-10900.400000000373</v>
      </c>
      <c r="N20" s="19">
        <f>972911-H20</f>
        <v>-760</v>
      </c>
    </row>
    <row r="21" spans="1:14" ht="25.5" customHeight="1">
      <c r="A21" s="11">
        <v>1</v>
      </c>
      <c r="B21" s="12" t="s">
        <v>106</v>
      </c>
      <c r="C21" s="30"/>
      <c r="D21" s="30">
        <v>290518</v>
      </c>
      <c r="E21" s="30">
        <f>SUM(F21:H21)</f>
        <v>388648</v>
      </c>
      <c r="F21" s="30">
        <v>131835</v>
      </c>
      <c r="G21" s="30">
        <v>117042</v>
      </c>
      <c r="H21" s="30">
        <v>139771</v>
      </c>
      <c r="I21" s="30"/>
      <c r="J21" s="30">
        <f t="shared" ref="J21:J37" si="3">E21/D21*100</f>
        <v>133.77759725731281</v>
      </c>
    </row>
    <row r="22" spans="1:14" ht="25.5" customHeight="1">
      <c r="A22" s="11">
        <v>2</v>
      </c>
      <c r="B22" s="12" t="s">
        <v>107</v>
      </c>
      <c r="C22" s="30"/>
      <c r="D22" s="30">
        <v>127223</v>
      </c>
      <c r="E22" s="30">
        <f t="shared" ref="E22:E33" si="4">SUM(F22:H22)</f>
        <v>136644</v>
      </c>
      <c r="F22" s="30">
        <v>64834</v>
      </c>
      <c r="G22" s="30">
        <v>25918</v>
      </c>
      <c r="H22" s="30">
        <v>45892</v>
      </c>
      <c r="I22" s="30"/>
      <c r="J22" s="30">
        <f t="shared" si="3"/>
        <v>107.40510756702797</v>
      </c>
    </row>
    <row r="23" spans="1:14" ht="25.5" customHeight="1">
      <c r="A23" s="11">
        <v>3</v>
      </c>
      <c r="B23" s="12" t="s">
        <v>129</v>
      </c>
      <c r="C23" s="30"/>
      <c r="D23" s="30">
        <v>3166882</v>
      </c>
      <c r="E23" s="30">
        <f t="shared" si="4"/>
        <v>2752525.6</v>
      </c>
      <c r="F23" s="30">
        <v>501761</v>
      </c>
      <c r="G23" s="30">
        <f>2248122-0.4</f>
        <v>2248121.6</v>
      </c>
      <c r="H23" s="30">
        <v>2643</v>
      </c>
      <c r="I23" s="30"/>
      <c r="J23" s="30">
        <f t="shared" si="3"/>
        <v>86.915950767979353</v>
      </c>
    </row>
    <row r="24" spans="1:14" ht="25.5" customHeight="1">
      <c r="A24" s="11">
        <v>4</v>
      </c>
      <c r="B24" s="12" t="s">
        <v>188</v>
      </c>
      <c r="C24" s="30"/>
      <c r="D24" s="30">
        <v>24378</v>
      </c>
      <c r="E24" s="30">
        <f t="shared" si="4"/>
        <v>11187.6</v>
      </c>
      <c r="F24" s="30">
        <v>11181</v>
      </c>
      <c r="G24" s="30">
        <f>7-0.4</f>
        <v>6.6</v>
      </c>
      <c r="H24" s="30"/>
      <c r="I24" s="30"/>
      <c r="J24" s="30">
        <f t="shared" si="3"/>
        <v>45.892197883337438</v>
      </c>
    </row>
    <row r="25" spans="1:14" ht="25.5" customHeight="1">
      <c r="A25" s="11">
        <v>5</v>
      </c>
      <c r="B25" s="12" t="s">
        <v>127</v>
      </c>
      <c r="C25" s="30"/>
      <c r="D25" s="30">
        <v>583557</v>
      </c>
      <c r="E25" s="30">
        <f t="shared" si="4"/>
        <v>596344</v>
      </c>
      <c r="F25" s="30">
        <v>107993</v>
      </c>
      <c r="G25" s="30">
        <v>488123</v>
      </c>
      <c r="H25" s="30">
        <v>228</v>
      </c>
      <c r="I25" s="30"/>
      <c r="J25" s="30">
        <f t="shared" si="3"/>
        <v>102.19121696766553</v>
      </c>
    </row>
    <row r="26" spans="1:14" ht="25.5" customHeight="1">
      <c r="A26" s="11">
        <v>6</v>
      </c>
      <c r="B26" s="12" t="s">
        <v>192</v>
      </c>
      <c r="C26" s="30"/>
      <c r="D26" s="30">
        <v>158387</v>
      </c>
      <c r="E26" s="30">
        <f t="shared" si="4"/>
        <v>157143.6</v>
      </c>
      <c r="F26" s="30">
        <f>34090+68446</f>
        <v>102536</v>
      </c>
      <c r="G26" s="30">
        <f>33516+12640-0.4</f>
        <v>46155.6</v>
      </c>
      <c r="H26" s="30">
        <f>4634+3818</f>
        <v>8452</v>
      </c>
      <c r="I26" s="30"/>
      <c r="J26" s="30">
        <f t="shared" si="3"/>
        <v>99.214960823804986</v>
      </c>
    </row>
    <row r="27" spans="1:14" ht="25.5" customHeight="1">
      <c r="A27" s="11">
        <v>7</v>
      </c>
      <c r="B27" s="12" t="s">
        <v>128</v>
      </c>
      <c r="C27" s="30"/>
      <c r="D27" s="30">
        <v>130797</v>
      </c>
      <c r="E27" s="30">
        <f t="shared" si="4"/>
        <v>91448</v>
      </c>
      <c r="F27" s="30">
        <v>79202</v>
      </c>
      <c r="G27" s="30">
        <v>11592</v>
      </c>
      <c r="H27" s="30">
        <v>654</v>
      </c>
      <c r="I27" s="30"/>
      <c r="J27" s="30">
        <f t="shared" si="3"/>
        <v>69.915976666131485</v>
      </c>
    </row>
    <row r="28" spans="1:14" ht="25.5" customHeight="1">
      <c r="A28" s="11">
        <v>8</v>
      </c>
      <c r="B28" s="12" t="s">
        <v>520</v>
      </c>
      <c r="C28" s="30"/>
      <c r="D28" s="30">
        <f>88722</f>
        <v>88722</v>
      </c>
      <c r="E28" s="30">
        <f t="shared" ref="E28" si="5">SUM(F28:H28)</f>
        <v>68103</v>
      </c>
      <c r="F28" s="30">
        <v>22510</v>
      </c>
      <c r="G28" s="30">
        <v>44614</v>
      </c>
      <c r="H28" s="30">
        <v>979</v>
      </c>
      <c r="I28" s="30"/>
      <c r="J28" s="30">
        <f t="shared" ref="J28" si="6">E28/D28*100</f>
        <v>76.75999188476365</v>
      </c>
    </row>
    <row r="29" spans="1:14" ht="25.5" customHeight="1">
      <c r="A29" s="11">
        <v>9</v>
      </c>
      <c r="B29" s="12" t="s">
        <v>108</v>
      </c>
      <c r="C29" s="30"/>
      <c r="D29" s="30">
        <f>2515194</f>
        <v>2515194</v>
      </c>
      <c r="E29" s="30">
        <f t="shared" si="4"/>
        <v>974944</v>
      </c>
      <c r="F29" s="30">
        <v>249859</v>
      </c>
      <c r="G29" s="30">
        <v>661533</v>
      </c>
      <c r="H29" s="30">
        <v>63552</v>
      </c>
      <c r="I29" s="30"/>
      <c r="J29" s="30">
        <f t="shared" si="3"/>
        <v>38.762178981024924</v>
      </c>
    </row>
    <row r="30" spans="1:14" ht="25.5" customHeight="1">
      <c r="A30" s="11">
        <v>10</v>
      </c>
      <c r="B30" s="12" t="s">
        <v>109</v>
      </c>
      <c r="C30" s="30"/>
      <c r="D30" s="30">
        <v>1257126</v>
      </c>
      <c r="E30" s="30">
        <f t="shared" si="4"/>
        <v>1610894.4</v>
      </c>
      <c r="F30" s="30">
        <f>370808+0.4</f>
        <v>370808.4</v>
      </c>
      <c r="G30" s="30">
        <f>540492</f>
        <v>540492</v>
      </c>
      <c r="H30" s="30">
        <v>699594</v>
      </c>
      <c r="I30" s="30"/>
      <c r="J30" s="30">
        <f t="shared" si="3"/>
        <v>128.14104552765593</v>
      </c>
      <c r="L30" s="19">
        <f>1618795-E30</f>
        <v>7900.6000000000931</v>
      </c>
    </row>
    <row r="31" spans="1:14" ht="25.5" customHeight="1">
      <c r="A31" s="11">
        <v>11</v>
      </c>
      <c r="B31" s="12" t="s">
        <v>126</v>
      </c>
      <c r="C31" s="30"/>
      <c r="D31" s="30">
        <v>378529</v>
      </c>
      <c r="E31" s="30">
        <f t="shared" si="4"/>
        <v>403685</v>
      </c>
      <c r="F31" s="30">
        <v>79346</v>
      </c>
      <c r="G31" s="30">
        <v>314084</v>
      </c>
      <c r="H31" s="30">
        <v>10255</v>
      </c>
      <c r="I31" s="30"/>
      <c r="J31" s="30">
        <f t="shared" si="3"/>
        <v>106.64572595494666</v>
      </c>
    </row>
    <row r="32" spans="1:14" ht="25.5" customHeight="1">
      <c r="A32" s="11">
        <v>12</v>
      </c>
      <c r="B32" s="12" t="s">
        <v>119</v>
      </c>
      <c r="C32" s="30"/>
      <c r="D32" s="30">
        <v>81594</v>
      </c>
      <c r="E32" s="30">
        <f t="shared" si="4"/>
        <v>54121</v>
      </c>
      <c r="F32" s="30">
        <f>3655+0.4</f>
        <v>3655.4</v>
      </c>
      <c r="G32" s="30">
        <f>37915+10900-0.4</f>
        <v>48814.6</v>
      </c>
      <c r="H32" s="30">
        <f>891+760</f>
        <v>1651</v>
      </c>
      <c r="I32" s="30"/>
      <c r="J32" s="30">
        <f t="shared" si="3"/>
        <v>66.329632080790262</v>
      </c>
    </row>
    <row r="33" spans="1:14" s="17" customFormat="1" ht="25.5" customHeight="1">
      <c r="A33" s="28" t="s">
        <v>79</v>
      </c>
      <c r="B33" s="13" t="s">
        <v>156</v>
      </c>
      <c r="C33" s="34">
        <v>1000</v>
      </c>
      <c r="D33" s="34">
        <v>1000</v>
      </c>
      <c r="E33" s="34">
        <f t="shared" si="4"/>
        <v>0</v>
      </c>
      <c r="F33" s="34">
        <v>0</v>
      </c>
      <c r="G33" s="34">
        <v>0</v>
      </c>
      <c r="H33" s="34">
        <v>0</v>
      </c>
      <c r="I33" s="34"/>
      <c r="J33" s="34"/>
      <c r="K33" s="434"/>
      <c r="L33" s="434"/>
      <c r="M33" s="434"/>
      <c r="N33" s="434"/>
    </row>
    <row r="34" spans="1:14" s="17" customFormat="1" ht="25.5" customHeight="1">
      <c r="A34" s="28" t="s">
        <v>80</v>
      </c>
      <c r="B34" s="13" t="s">
        <v>143</v>
      </c>
      <c r="C34" s="34"/>
      <c r="D34" s="34"/>
      <c r="E34" s="34">
        <f>SUM(F34:H34)</f>
        <v>9016720</v>
      </c>
      <c r="F34" s="34">
        <f>4963450-980</f>
        <v>4962470</v>
      </c>
      <c r="G34" s="34">
        <f>3631637</f>
        <v>3631637</v>
      </c>
      <c r="H34" s="34">
        <v>422613</v>
      </c>
      <c r="I34" s="34"/>
      <c r="J34" s="34">
        <v>0</v>
      </c>
      <c r="K34" s="434"/>
      <c r="L34" s="434"/>
      <c r="M34" s="434"/>
      <c r="N34" s="434"/>
    </row>
    <row r="35" spans="1:14" s="17" customFormat="1" ht="25.5" customHeight="1">
      <c r="A35" s="28" t="s">
        <v>81</v>
      </c>
      <c r="B35" s="13" t="s">
        <v>130</v>
      </c>
      <c r="C35" s="34">
        <v>265081</v>
      </c>
      <c r="D35" s="34">
        <v>589474</v>
      </c>
      <c r="E35" s="34">
        <f t="shared" ref="E35:E39" si="7">SUM(F35:H35)</f>
        <v>0</v>
      </c>
      <c r="F35" s="34">
        <v>0</v>
      </c>
      <c r="G35" s="34">
        <v>0</v>
      </c>
      <c r="H35" s="34">
        <v>0</v>
      </c>
      <c r="I35" s="34">
        <f>E35/C35*100</f>
        <v>0</v>
      </c>
      <c r="J35" s="34">
        <f>E35/D35*100</f>
        <v>0</v>
      </c>
      <c r="K35" s="434"/>
      <c r="L35" s="434"/>
      <c r="M35" s="434"/>
      <c r="N35" s="434"/>
    </row>
    <row r="36" spans="1:14" s="17" customFormat="1" ht="25.5" customHeight="1">
      <c r="A36" s="28" t="s">
        <v>136</v>
      </c>
      <c r="B36" s="13" t="s">
        <v>132</v>
      </c>
      <c r="C36" s="34"/>
      <c r="D36" s="34">
        <v>1490785</v>
      </c>
      <c r="E36" s="34">
        <f t="shared" si="7"/>
        <v>0</v>
      </c>
      <c r="F36" s="34"/>
      <c r="G36" s="34"/>
      <c r="H36" s="34"/>
      <c r="I36" s="34"/>
      <c r="J36" s="34">
        <f t="shared" si="3"/>
        <v>0</v>
      </c>
      <c r="K36" s="434"/>
      <c r="L36" s="434"/>
      <c r="M36" s="434"/>
      <c r="N36" s="434"/>
    </row>
    <row r="37" spans="1:14" s="17" customFormat="1" ht="25.5" customHeight="1">
      <c r="A37" s="28" t="s">
        <v>137</v>
      </c>
      <c r="B37" s="13" t="s">
        <v>133</v>
      </c>
      <c r="C37" s="78"/>
      <c r="D37" s="34">
        <v>122452</v>
      </c>
      <c r="E37" s="34">
        <f t="shared" si="7"/>
        <v>0</v>
      </c>
      <c r="F37" s="34"/>
      <c r="G37" s="34"/>
      <c r="H37" s="34"/>
      <c r="I37" s="34"/>
      <c r="J37" s="34">
        <f t="shared" si="3"/>
        <v>0</v>
      </c>
      <c r="K37" s="434"/>
      <c r="L37" s="434"/>
      <c r="M37" s="434"/>
      <c r="N37" s="434"/>
    </row>
    <row r="38" spans="1:14" s="17" customFormat="1" ht="25.5" customHeight="1">
      <c r="A38" s="28" t="s">
        <v>138</v>
      </c>
      <c r="B38" s="13" t="s">
        <v>464</v>
      </c>
      <c r="C38" s="78">
        <v>1171835</v>
      </c>
      <c r="D38" s="34"/>
      <c r="E38" s="34">
        <f t="shared" si="7"/>
        <v>0</v>
      </c>
      <c r="F38" s="34"/>
      <c r="G38" s="34"/>
      <c r="H38" s="34"/>
      <c r="I38" s="34"/>
      <c r="J38" s="34"/>
      <c r="K38" s="434"/>
      <c r="L38" s="434"/>
      <c r="M38" s="434"/>
      <c r="N38" s="434"/>
    </row>
    <row r="39" spans="1:14" s="17" customFormat="1" ht="25.5" customHeight="1">
      <c r="A39" s="28" t="s">
        <v>139</v>
      </c>
      <c r="B39" s="13" t="s">
        <v>155</v>
      </c>
      <c r="C39" s="78"/>
      <c r="D39" s="34"/>
      <c r="E39" s="34">
        <f t="shared" si="7"/>
        <v>25547.599999999999</v>
      </c>
      <c r="F39" s="34">
        <f>12180+1500</f>
        <v>13680</v>
      </c>
      <c r="G39" s="34">
        <f>+'62 (2)'!G37</f>
        <v>0</v>
      </c>
      <c r="H39" s="34">
        <f>11868-0.4</f>
        <v>11867.6</v>
      </c>
      <c r="I39" s="34"/>
      <c r="J39" s="34"/>
      <c r="K39" s="434"/>
      <c r="L39" s="434"/>
      <c r="M39" s="434"/>
      <c r="N39" s="434"/>
    </row>
    <row r="40" spans="1:14" s="17" customFormat="1" ht="25.5" customHeight="1">
      <c r="A40" s="28" t="s">
        <v>204</v>
      </c>
      <c r="B40" s="13" t="s">
        <v>135</v>
      </c>
      <c r="C40" s="78"/>
      <c r="D40" s="34"/>
      <c r="E40" s="34">
        <f>E41+E42</f>
        <v>9226</v>
      </c>
      <c r="F40" s="34">
        <f t="shared" ref="F40:H40" si="8">F41+F42</f>
        <v>1000</v>
      </c>
      <c r="G40" s="34">
        <f t="shared" si="8"/>
        <v>337</v>
      </c>
      <c r="H40" s="34">
        <f t="shared" si="8"/>
        <v>7889</v>
      </c>
      <c r="I40" s="34"/>
      <c r="J40" s="34">
        <v>0</v>
      </c>
      <c r="K40" s="434"/>
      <c r="L40" s="434"/>
      <c r="M40" s="434"/>
      <c r="N40" s="434"/>
    </row>
    <row r="41" spans="1:14" s="21" customFormat="1" ht="25.5" customHeight="1">
      <c r="A41" s="380" t="s">
        <v>33</v>
      </c>
      <c r="B41" s="376" t="s">
        <v>190</v>
      </c>
      <c r="C41" s="381"/>
      <c r="D41" s="381"/>
      <c r="E41" s="30">
        <f>SUM(F41:H41)</f>
        <v>9226</v>
      </c>
      <c r="F41" s="381">
        <f>'61 (2)'!G71</f>
        <v>1000</v>
      </c>
      <c r="G41" s="381">
        <f>'61 (2)'!H71</f>
        <v>337</v>
      </c>
      <c r="H41" s="381">
        <f>'61 (2)'!I71</f>
        <v>7889</v>
      </c>
      <c r="I41" s="381"/>
      <c r="J41" s="381"/>
      <c r="K41" s="348"/>
      <c r="L41" s="19"/>
      <c r="M41" s="348"/>
      <c r="N41" s="348"/>
    </row>
    <row r="42" spans="1:14" ht="25.5" customHeight="1">
      <c r="A42" s="379">
        <v>2</v>
      </c>
      <c r="B42" s="378" t="s">
        <v>207</v>
      </c>
      <c r="C42" s="377"/>
      <c r="D42" s="377"/>
      <c r="E42" s="377"/>
      <c r="F42" s="377"/>
      <c r="G42" s="377"/>
      <c r="H42" s="377"/>
      <c r="I42" s="377"/>
      <c r="J42" s="377"/>
    </row>
    <row r="48" spans="1:14">
      <c r="E48" s="343"/>
      <c r="F48" s="343"/>
      <c r="G48" s="343"/>
      <c r="H48" s="343"/>
    </row>
  </sheetData>
  <mergeCells count="10">
    <mergeCell ref="A8:A10"/>
    <mergeCell ref="B8:B10"/>
    <mergeCell ref="C8:D8"/>
    <mergeCell ref="E8:H8"/>
    <mergeCell ref="I8:J8"/>
    <mergeCell ref="G2:J2"/>
    <mergeCell ref="G1:J1"/>
    <mergeCell ref="A3:J3"/>
    <mergeCell ref="A4:J4"/>
    <mergeCell ref="H7:J7"/>
  </mergeCells>
  <pageMargins left="0.28000000000000003" right="0.15748031496063" top="0.46" bottom="0.5" header="0.31496062992126" footer="0.23622047244094499"/>
  <pageSetup paperSize="9" scale="75" orientation="landscape" horizontalDpi="4294967295" verticalDpi="4294967295" r:id="rId1"/>
  <headerFooter differentFirst="1" alignWithMargins="0">
    <oddFooter>&amp;R&amp;P</oddFooter>
  </headerFooter>
  <ignoredErrors>
    <ignoredError sqref="E20" formula="1"/>
    <ignoredError sqref="A4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zoomScale="70" zoomScaleNormal="70" workbookViewId="0">
      <pane ySplit="8" topLeftCell="A77" activePane="bottomLeft" state="frozen"/>
      <selection activeCell="L24" sqref="L24"/>
      <selection pane="bottomLeft" activeCell="B92" sqref="B92"/>
    </sheetView>
  </sheetViews>
  <sheetFormatPr defaultRowHeight="15.75"/>
  <cols>
    <col min="1" max="1" width="4.25" style="59" customWidth="1"/>
    <col min="2" max="2" width="48.875" style="58" customWidth="1"/>
    <col min="3" max="3" width="12.25" style="58" bestFit="1" customWidth="1"/>
    <col min="4" max="4" width="12.375" style="58" customWidth="1"/>
    <col min="5" max="5" width="17" style="58" customWidth="1"/>
    <col min="6" max="6" width="11.875" style="58" customWidth="1"/>
    <col min="7" max="7" width="12" style="58" customWidth="1"/>
    <col min="8" max="8" width="12.125" style="58" customWidth="1"/>
    <col min="9" max="9" width="11.25" style="58" bestFit="1" customWidth="1"/>
    <col min="10" max="10" width="11.125" style="58" customWidth="1"/>
    <col min="11" max="11" width="10.875" style="58" customWidth="1"/>
    <col min="12" max="12" width="16" style="58" bestFit="1" customWidth="1"/>
    <col min="13" max="13" width="12.75" style="58" customWidth="1"/>
    <col min="14" max="14" width="16" style="58" bestFit="1" customWidth="1"/>
    <col min="15" max="16" width="14.875" style="58" bestFit="1" customWidth="1"/>
    <col min="17" max="16384" width="9" style="58"/>
  </cols>
  <sheetData>
    <row r="1" spans="1:17" ht="24" customHeight="1">
      <c r="A1" s="724" t="str">
        <f>'62 (2)'!A1</f>
        <v>HỘI NHÂN DÂN TỈNH BÌNH PHƯỚC</v>
      </c>
      <c r="B1" s="724"/>
      <c r="H1" s="730" t="s">
        <v>121</v>
      </c>
      <c r="I1" s="730"/>
      <c r="J1" s="730"/>
      <c r="K1" s="730"/>
    </row>
    <row r="2" spans="1:17" ht="56.25" customHeight="1">
      <c r="A2" s="438"/>
      <c r="B2" s="438"/>
      <c r="H2" s="731" t="s">
        <v>339</v>
      </c>
      <c r="I2" s="731"/>
      <c r="J2" s="731"/>
      <c r="K2" s="731"/>
    </row>
    <row r="3" spans="1:17" ht="42" customHeight="1">
      <c r="A3" s="725" t="s">
        <v>506</v>
      </c>
      <c r="B3" s="725"/>
      <c r="C3" s="725"/>
      <c r="D3" s="725"/>
      <c r="E3" s="725"/>
      <c r="F3" s="725"/>
      <c r="G3" s="725"/>
      <c r="H3" s="725"/>
      <c r="I3" s="725"/>
      <c r="J3" s="725"/>
      <c r="K3" s="725"/>
    </row>
    <row r="4" spans="1:17" ht="29.25" customHeight="1">
      <c r="A4" s="726" t="str">
        <f>'62 (2)'!A4:J4</f>
        <v>(Kèm theo Nghị quyết số:         /NQ-HĐND ngày      tháng  12  năm 2023 của Hội đồng nhân dân tỉnh)</v>
      </c>
      <c r="B4" s="726"/>
      <c r="C4" s="726"/>
      <c r="D4" s="726"/>
      <c r="E4" s="726"/>
      <c r="F4" s="726"/>
      <c r="G4" s="726"/>
      <c r="H4" s="726"/>
      <c r="I4" s="726"/>
      <c r="J4" s="726"/>
      <c r="K4" s="726"/>
    </row>
    <row r="5" spans="1:17" ht="23.25" customHeight="1">
      <c r="C5" s="60"/>
      <c r="D5" s="60"/>
      <c r="E5" s="439"/>
      <c r="F5" s="117"/>
      <c r="G5" s="117"/>
      <c r="H5" s="117"/>
      <c r="I5" s="440"/>
      <c r="J5" s="720" t="s">
        <v>165</v>
      </c>
      <c r="K5" s="720"/>
      <c r="L5" s="117"/>
    </row>
    <row r="6" spans="1:17" ht="24.75" customHeight="1">
      <c r="A6" s="62"/>
      <c r="B6" s="62"/>
      <c r="C6" s="747" t="s">
        <v>179</v>
      </c>
      <c r="D6" s="748"/>
      <c r="E6" s="435" t="s">
        <v>176</v>
      </c>
      <c r="F6" s="63" t="s">
        <v>182</v>
      </c>
      <c r="G6" s="63"/>
      <c r="H6" s="63"/>
      <c r="I6" s="64"/>
      <c r="J6" s="747" t="s">
        <v>180</v>
      </c>
      <c r="K6" s="749"/>
    </row>
    <row r="7" spans="1:17" ht="26.25" customHeight="1">
      <c r="A7" s="436" t="s">
        <v>18</v>
      </c>
      <c r="B7" s="436" t="s">
        <v>178</v>
      </c>
      <c r="C7" s="162" t="s">
        <v>19</v>
      </c>
      <c r="D7" s="163" t="s">
        <v>147</v>
      </c>
      <c r="E7" s="436" t="s">
        <v>181</v>
      </c>
      <c r="F7" s="435" t="s">
        <v>3</v>
      </c>
      <c r="G7" s="435" t="s">
        <v>20</v>
      </c>
      <c r="H7" s="435" t="s">
        <v>20</v>
      </c>
      <c r="I7" s="435" t="s">
        <v>3</v>
      </c>
      <c r="J7" s="162" t="s">
        <v>19</v>
      </c>
      <c r="K7" s="435" t="s">
        <v>147</v>
      </c>
      <c r="L7" s="117"/>
    </row>
    <row r="8" spans="1:17" ht="18.75" customHeight="1">
      <c r="A8" s="436"/>
      <c r="B8" s="436"/>
      <c r="C8" s="162" t="s">
        <v>21</v>
      </c>
      <c r="D8" s="164" t="s">
        <v>146</v>
      </c>
      <c r="E8" s="437"/>
      <c r="F8" s="436" t="s">
        <v>22</v>
      </c>
      <c r="G8" s="436" t="s">
        <v>145</v>
      </c>
      <c r="H8" s="436" t="s">
        <v>142</v>
      </c>
      <c r="I8" s="166" t="s">
        <v>149</v>
      </c>
      <c r="J8" s="162" t="s">
        <v>21</v>
      </c>
      <c r="K8" s="437" t="s">
        <v>146</v>
      </c>
    </row>
    <row r="9" spans="1:17" s="69" customFormat="1" ht="16.5" customHeight="1">
      <c r="A9" s="66" t="s">
        <v>1</v>
      </c>
      <c r="B9" s="66" t="s">
        <v>2</v>
      </c>
      <c r="C9" s="67" t="s">
        <v>23</v>
      </c>
      <c r="D9" s="67" t="s">
        <v>24</v>
      </c>
      <c r="E9" s="67" t="s">
        <v>25</v>
      </c>
      <c r="F9" s="68" t="s">
        <v>26</v>
      </c>
      <c r="G9" s="68" t="s">
        <v>27</v>
      </c>
      <c r="H9" s="68" t="s">
        <v>28</v>
      </c>
      <c r="I9" s="68" t="s">
        <v>29</v>
      </c>
      <c r="J9" s="68" t="s">
        <v>30</v>
      </c>
      <c r="K9" s="68" t="s">
        <v>31</v>
      </c>
    </row>
    <row r="10" spans="1:17" s="69" customFormat="1" ht="24.75" customHeight="1">
      <c r="A10" s="745" t="s">
        <v>32</v>
      </c>
      <c r="B10" s="746"/>
      <c r="C10" s="124">
        <f t="shared" ref="C10:I10" si="0">C11+C74+C81+SUM(C86:C88)</f>
        <v>15856580</v>
      </c>
      <c r="D10" s="124">
        <f>D11+D74+D81+SUM(D86:D88)</f>
        <v>19757830</v>
      </c>
      <c r="E10" s="124">
        <f>E11+E74+E81+SUM(E86:E88)</f>
        <v>30929562</v>
      </c>
      <c r="F10" s="124">
        <f t="shared" si="0"/>
        <v>1395543</v>
      </c>
      <c r="G10" s="124">
        <f t="shared" si="0"/>
        <v>14947891.199999999</v>
      </c>
      <c r="H10" s="124">
        <f t="shared" si="0"/>
        <v>12178727.800000001</v>
      </c>
      <c r="I10" s="124">
        <f t="shared" si="0"/>
        <v>2407400</v>
      </c>
      <c r="J10" s="127">
        <f>E10/C10*100</f>
        <v>195.05821557990436</v>
      </c>
      <c r="K10" s="127">
        <f t="shared" ref="K10:K12" si="1">E10/D10*100</f>
        <v>156.54331472636417</v>
      </c>
      <c r="L10" s="37"/>
      <c r="M10" s="37"/>
      <c r="N10" s="37"/>
      <c r="O10" s="37"/>
      <c r="P10" s="37"/>
      <c r="Q10" s="37"/>
    </row>
    <row r="11" spans="1:17" s="69" customFormat="1" ht="24.75" customHeight="1">
      <c r="A11" s="125" t="s">
        <v>1</v>
      </c>
      <c r="B11" s="126" t="s">
        <v>296</v>
      </c>
      <c r="C11" s="127">
        <f>C12+C62+C70+C71</f>
        <v>12180000</v>
      </c>
      <c r="D11" s="127">
        <f t="shared" ref="D11:I11" si="2">D12+D62+D70+D71</f>
        <v>14250000</v>
      </c>
      <c r="E11" s="127">
        <f>E12+E62+E70+E71</f>
        <v>14282505.199999999</v>
      </c>
      <c r="F11" s="127">
        <f t="shared" si="2"/>
        <v>1338835</v>
      </c>
      <c r="G11" s="127">
        <f t="shared" si="2"/>
        <v>7493637.1999999993</v>
      </c>
      <c r="H11" s="127">
        <f t="shared" si="2"/>
        <v>5115239</v>
      </c>
      <c r="I11" s="127">
        <f t="shared" si="2"/>
        <v>334794</v>
      </c>
      <c r="J11" s="127">
        <f>E11/C11*100</f>
        <v>117.26194745484399</v>
      </c>
      <c r="K11" s="127">
        <f t="shared" si="1"/>
        <v>100.22810666666666</v>
      </c>
      <c r="L11" s="37"/>
      <c r="M11" s="37"/>
      <c r="N11" s="37"/>
      <c r="O11" s="37"/>
      <c r="P11" s="37"/>
      <c r="Q11" s="37"/>
    </row>
    <row r="12" spans="1:17" s="69" customFormat="1" ht="24.75" customHeight="1">
      <c r="A12" s="128" t="s">
        <v>86</v>
      </c>
      <c r="B12" s="129" t="s">
        <v>295</v>
      </c>
      <c r="C12" s="130">
        <f>C13+C20+C27+C34+SUM(C41:C45)+C48+C52+SUM(C55:C55)+SUM(C56:C56)+C58+SUM(C59:C61)</f>
        <v>11030000</v>
      </c>
      <c r="D12" s="130">
        <f>D13+D20+D27+D34+SUM(D41:D45)+D48+D52+SUM(D55:D55)+SUM(D56:D56)+D58+SUM(D59:D61)</f>
        <v>13100000</v>
      </c>
      <c r="E12" s="130">
        <f t="shared" ref="E12:I12" si="3">E13+E20+E27+E34+SUM(E41:E45)+E48+E52+SUM(E55:E55)+SUM(E56:E56)+E58+SUM(E59:E61)</f>
        <v>13229249.199999999</v>
      </c>
      <c r="F12" s="130">
        <f t="shared" si="3"/>
        <v>294805</v>
      </c>
      <c r="G12" s="130">
        <f t="shared" si="3"/>
        <v>7492637.1999999993</v>
      </c>
      <c r="H12" s="130">
        <f t="shared" si="3"/>
        <v>5114902</v>
      </c>
      <c r="I12" s="130">
        <f t="shared" si="3"/>
        <v>326905</v>
      </c>
      <c r="J12" s="130">
        <f>E12/C12*100</f>
        <v>119.93879601087943</v>
      </c>
      <c r="K12" s="130">
        <f t="shared" si="1"/>
        <v>100.98663511450381</v>
      </c>
      <c r="L12" s="37"/>
      <c r="M12" s="37"/>
      <c r="N12" s="37"/>
      <c r="O12" s="37"/>
      <c r="P12" s="37"/>
      <c r="Q12" s="37"/>
    </row>
    <row r="13" spans="1:17" s="69" customFormat="1" ht="38.25" customHeight="1">
      <c r="A13" s="90" t="s">
        <v>33</v>
      </c>
      <c r="B13" s="91" t="s">
        <v>200</v>
      </c>
      <c r="C13" s="89">
        <f t="shared" ref="C13:I13" si="4">SUM(C14:C19)</f>
        <v>480000</v>
      </c>
      <c r="D13" s="89">
        <f t="shared" si="4"/>
        <v>500000</v>
      </c>
      <c r="E13" s="89">
        <f t="shared" si="4"/>
        <v>570524</v>
      </c>
      <c r="F13" s="89">
        <f t="shared" si="4"/>
        <v>0</v>
      </c>
      <c r="G13" s="89">
        <f t="shared" si="4"/>
        <v>570524</v>
      </c>
      <c r="H13" s="89">
        <f t="shared" si="4"/>
        <v>0</v>
      </c>
      <c r="I13" s="89">
        <f t="shared" si="4"/>
        <v>0</v>
      </c>
      <c r="J13" s="89">
        <f>E13/C13*100</f>
        <v>118.85916666666667</v>
      </c>
      <c r="K13" s="89">
        <f>E13/D13*100</f>
        <v>114.10480000000001</v>
      </c>
      <c r="L13" s="37"/>
      <c r="M13" s="37"/>
      <c r="N13" s="37"/>
      <c r="O13" s="37"/>
      <c r="P13" s="37"/>
      <c r="Q13" s="37"/>
    </row>
    <row r="14" spans="1:17" ht="24.75" customHeight="1">
      <c r="A14" s="92"/>
      <c r="B14" s="93" t="s">
        <v>34</v>
      </c>
      <c r="C14" s="94">
        <f>'61 (2)'!C14</f>
        <v>263000</v>
      </c>
      <c r="D14" s="94">
        <f>'61 (2)'!D14</f>
        <v>296000</v>
      </c>
      <c r="E14" s="94">
        <f>SUM(F14:I14)</f>
        <v>253591</v>
      </c>
      <c r="F14" s="94">
        <f>'61 (2)'!F14</f>
        <v>0</v>
      </c>
      <c r="G14" s="94">
        <f>'61 (2)'!G14</f>
        <v>253591</v>
      </c>
      <c r="H14" s="94">
        <f>'61 (2)'!H14</f>
        <v>0</v>
      </c>
      <c r="I14" s="94">
        <f>'61 (2)'!I14</f>
        <v>0</v>
      </c>
      <c r="J14" s="115"/>
      <c r="K14" s="115"/>
      <c r="L14" s="19"/>
      <c r="M14" s="19"/>
      <c r="N14" s="19"/>
    </row>
    <row r="15" spans="1:17" ht="24.75" customHeight="1">
      <c r="A15" s="92"/>
      <c r="B15" s="93" t="s">
        <v>35</v>
      </c>
      <c r="C15" s="94">
        <f>'61 (2)'!C15</f>
        <v>185000</v>
      </c>
      <c r="D15" s="94">
        <f>'61 (2)'!D15</f>
        <v>180000</v>
      </c>
      <c r="E15" s="94">
        <f t="shared" ref="E15:E61" si="5">SUM(F15:I15)</f>
        <v>272445</v>
      </c>
      <c r="F15" s="94">
        <f>'61 (2)'!F15</f>
        <v>0</v>
      </c>
      <c r="G15" s="94">
        <f>'61 (2)'!G15</f>
        <v>272445</v>
      </c>
      <c r="H15" s="94">
        <f>'61 (2)'!H15</f>
        <v>0</v>
      </c>
      <c r="I15" s="94">
        <f>'61 (2)'!I15</f>
        <v>0</v>
      </c>
      <c r="J15" s="115"/>
      <c r="K15" s="115"/>
    </row>
    <row r="16" spans="1:17" ht="24.75" customHeight="1">
      <c r="A16" s="95"/>
      <c r="B16" s="93" t="s">
        <v>123</v>
      </c>
      <c r="C16" s="94">
        <f>'61 (2)'!C16</f>
        <v>0</v>
      </c>
      <c r="D16" s="94">
        <f>'61 (2)'!D16</f>
        <v>0</v>
      </c>
      <c r="E16" s="94">
        <f t="shared" si="5"/>
        <v>0</v>
      </c>
      <c r="F16" s="94">
        <f>'61 (2)'!F16</f>
        <v>0</v>
      </c>
      <c r="G16" s="94">
        <f>'61 (2)'!G16</f>
        <v>0</v>
      </c>
      <c r="H16" s="94">
        <f>'61 (2)'!H16</f>
        <v>0</v>
      </c>
      <c r="I16" s="94">
        <f>'61 (2)'!I16</f>
        <v>0</v>
      </c>
      <c r="J16" s="115"/>
      <c r="K16" s="115"/>
    </row>
    <row r="17" spans="1:11" ht="24.75" customHeight="1">
      <c r="A17" s="92"/>
      <c r="B17" s="93" t="s">
        <v>37</v>
      </c>
      <c r="C17" s="94">
        <f>'61 (2)'!C17</f>
        <v>32000</v>
      </c>
      <c r="D17" s="94">
        <f>'61 (2)'!D17</f>
        <v>24000</v>
      </c>
      <c r="E17" s="94">
        <f t="shared" si="5"/>
        <v>44488</v>
      </c>
      <c r="F17" s="94">
        <f>'61 (2)'!F17</f>
        <v>0</v>
      </c>
      <c r="G17" s="94">
        <f>'61 (2)'!G17</f>
        <v>44488</v>
      </c>
      <c r="H17" s="94">
        <f>'61 (2)'!H17</f>
        <v>0</v>
      </c>
      <c r="I17" s="94">
        <f>'61 (2)'!I17</f>
        <v>0</v>
      </c>
      <c r="J17" s="115"/>
      <c r="K17" s="115"/>
    </row>
    <row r="18" spans="1:11" ht="24.75" customHeight="1">
      <c r="A18" s="92"/>
      <c r="B18" s="93" t="s">
        <v>125</v>
      </c>
      <c r="C18" s="94">
        <f>'61 (2)'!C18</f>
        <v>0</v>
      </c>
      <c r="D18" s="94">
        <f>'61 (2)'!D18</f>
        <v>0</v>
      </c>
      <c r="E18" s="94">
        <f t="shared" si="5"/>
        <v>0</v>
      </c>
      <c r="F18" s="94">
        <f>'61 (2)'!F18</f>
        <v>0</v>
      </c>
      <c r="G18" s="94">
        <f>'61 (2)'!G18</f>
        <v>0</v>
      </c>
      <c r="H18" s="94">
        <f>'61 (2)'!H18</f>
        <v>0</v>
      </c>
      <c r="I18" s="94">
        <f>'61 (2)'!I18</f>
        <v>0</v>
      </c>
      <c r="J18" s="115"/>
      <c r="K18" s="115"/>
    </row>
    <row r="19" spans="1:11" ht="24.75" customHeight="1">
      <c r="A19" s="92"/>
      <c r="B19" s="93" t="s">
        <v>124</v>
      </c>
      <c r="C19" s="94">
        <f>'61 (2)'!C19</f>
        <v>0</v>
      </c>
      <c r="D19" s="94">
        <f>'61 (2)'!D19</f>
        <v>0</v>
      </c>
      <c r="E19" s="94">
        <f t="shared" si="5"/>
        <v>0</v>
      </c>
      <c r="F19" s="94">
        <f>'61 (2)'!F19</f>
        <v>0</v>
      </c>
      <c r="G19" s="94">
        <f>'61 (2)'!G19</f>
        <v>0</v>
      </c>
      <c r="H19" s="94">
        <f>'61 (2)'!H19</f>
        <v>0</v>
      </c>
      <c r="I19" s="94">
        <f>'61 (2)'!I19</f>
        <v>0</v>
      </c>
      <c r="J19" s="115"/>
      <c r="K19" s="115"/>
    </row>
    <row r="20" spans="1:11" ht="42" customHeight="1">
      <c r="A20" s="90" t="s">
        <v>38</v>
      </c>
      <c r="B20" s="91" t="s">
        <v>199</v>
      </c>
      <c r="C20" s="96">
        <f>SUM(C21:C26)</f>
        <v>420000</v>
      </c>
      <c r="D20" s="96">
        <f>SUM(D21:D26)</f>
        <v>550000</v>
      </c>
      <c r="E20" s="96">
        <f t="shared" si="5"/>
        <v>637462</v>
      </c>
      <c r="F20" s="96">
        <f>SUM(F21:F26)</f>
        <v>0</v>
      </c>
      <c r="G20" s="96">
        <f t="shared" ref="G20:I20" si="6">SUM(G21:G26)</f>
        <v>636352</v>
      </c>
      <c r="H20" s="96">
        <f t="shared" si="6"/>
        <v>1110</v>
      </c>
      <c r="I20" s="96">
        <f t="shared" si="6"/>
        <v>0</v>
      </c>
      <c r="J20" s="89"/>
      <c r="K20" s="89"/>
    </row>
    <row r="21" spans="1:11" ht="24.75" customHeight="1">
      <c r="A21" s="92"/>
      <c r="B21" s="93" t="s">
        <v>34</v>
      </c>
      <c r="C21" s="94">
        <f>'61 (2)'!C21</f>
        <v>240000</v>
      </c>
      <c r="D21" s="94">
        <f>'61 (2)'!D21</f>
        <v>230950</v>
      </c>
      <c r="E21" s="94">
        <f t="shared" si="5"/>
        <v>255126</v>
      </c>
      <c r="F21" s="94">
        <f>'61 (2)'!F21</f>
        <v>0</v>
      </c>
      <c r="G21" s="94">
        <f>'61 (2)'!G21</f>
        <v>254606</v>
      </c>
      <c r="H21" s="94">
        <f>'61 (2)'!H21</f>
        <v>520</v>
      </c>
      <c r="I21" s="94">
        <f>'61 (2)'!I21</f>
        <v>0</v>
      </c>
      <c r="J21" s="115"/>
      <c r="K21" s="115"/>
    </row>
    <row r="22" spans="1:11" ht="24.75" customHeight="1">
      <c r="A22" s="92"/>
      <c r="B22" s="93" t="s">
        <v>35</v>
      </c>
      <c r="C22" s="94">
        <f>'61 (2)'!C22</f>
        <v>105000</v>
      </c>
      <c r="D22" s="94">
        <f>'61 (2)'!D22</f>
        <v>234050</v>
      </c>
      <c r="E22" s="94">
        <f t="shared" si="5"/>
        <v>262404</v>
      </c>
      <c r="F22" s="94">
        <f>'61 (2)'!F22</f>
        <v>0</v>
      </c>
      <c r="G22" s="94">
        <f>'61 (2)'!G22</f>
        <v>261814</v>
      </c>
      <c r="H22" s="94">
        <f>'61 (2)'!H22</f>
        <v>590</v>
      </c>
      <c r="I22" s="94">
        <f>'61 (2)'!I22</f>
        <v>0</v>
      </c>
      <c r="J22" s="115"/>
      <c r="K22" s="115"/>
    </row>
    <row r="23" spans="1:11" ht="24.75" customHeight="1">
      <c r="A23" s="95"/>
      <c r="B23" s="93" t="s">
        <v>123</v>
      </c>
      <c r="C23" s="94">
        <f>'61 (2)'!C23</f>
        <v>0</v>
      </c>
      <c r="D23" s="94">
        <f>'61 (2)'!D23</f>
        <v>0</v>
      </c>
      <c r="E23" s="94">
        <f t="shared" si="5"/>
        <v>0</v>
      </c>
      <c r="F23" s="94">
        <f>'61 (2)'!F23</f>
        <v>0</v>
      </c>
      <c r="G23" s="94">
        <f>'61 (2)'!G23</f>
        <v>0</v>
      </c>
      <c r="H23" s="94">
        <f>'61 (2)'!H23</f>
        <v>0</v>
      </c>
      <c r="I23" s="94">
        <f>'61 (2)'!I23</f>
        <v>0</v>
      </c>
      <c r="J23" s="115"/>
      <c r="K23" s="115"/>
    </row>
    <row r="24" spans="1:11" ht="24.75" customHeight="1">
      <c r="A24" s="92"/>
      <c r="B24" s="93" t="s">
        <v>37</v>
      </c>
      <c r="C24" s="94">
        <f>'61 (2)'!C24</f>
        <v>75000</v>
      </c>
      <c r="D24" s="94">
        <f>'61 (2)'!D24</f>
        <v>85000</v>
      </c>
      <c r="E24" s="94">
        <f t="shared" si="5"/>
        <v>119932</v>
      </c>
      <c r="F24" s="94">
        <f>'61 (2)'!F24</f>
        <v>0</v>
      </c>
      <c r="G24" s="94">
        <f>'61 (2)'!G24</f>
        <v>119932</v>
      </c>
      <c r="H24" s="94">
        <f>'61 (2)'!H24</f>
        <v>0</v>
      </c>
      <c r="I24" s="94">
        <f>'61 (2)'!I24</f>
        <v>0</v>
      </c>
      <c r="J24" s="115"/>
      <c r="K24" s="115"/>
    </row>
    <row r="25" spans="1:11" ht="24.75" customHeight="1">
      <c r="A25" s="92"/>
      <c r="B25" s="93" t="s">
        <v>125</v>
      </c>
      <c r="C25" s="94">
        <f>'61 (2)'!C25</f>
        <v>0</v>
      </c>
      <c r="D25" s="94">
        <f>'61 (2)'!D25</f>
        <v>0</v>
      </c>
      <c r="E25" s="94">
        <f t="shared" si="5"/>
        <v>0</v>
      </c>
      <c r="F25" s="94">
        <f>'61 (2)'!F25</f>
        <v>0</v>
      </c>
      <c r="G25" s="94">
        <f>'61 (2)'!G25</f>
        <v>0</v>
      </c>
      <c r="H25" s="94">
        <f>'61 (2)'!H25</f>
        <v>0</v>
      </c>
      <c r="I25" s="94">
        <f>'61 (2)'!I25</f>
        <v>0</v>
      </c>
      <c r="J25" s="115"/>
      <c r="K25" s="115"/>
    </row>
    <row r="26" spans="1:11" ht="24.75" customHeight="1">
      <c r="A26" s="92"/>
      <c r="B26" s="93" t="s">
        <v>124</v>
      </c>
      <c r="C26" s="94">
        <f>'61 (2)'!C26</f>
        <v>0</v>
      </c>
      <c r="D26" s="94">
        <f>'61 (2)'!D26</f>
        <v>0</v>
      </c>
      <c r="E26" s="94">
        <f t="shared" si="5"/>
        <v>0</v>
      </c>
      <c r="F26" s="94">
        <f>'61 (2)'!F26</f>
        <v>0</v>
      </c>
      <c r="G26" s="94">
        <f>'61 (2)'!G26</f>
        <v>0</v>
      </c>
      <c r="H26" s="94">
        <f>'61 (2)'!H26</f>
        <v>0</v>
      </c>
      <c r="I26" s="94">
        <f>'61 (2)'!I26</f>
        <v>0</v>
      </c>
      <c r="J26" s="115"/>
      <c r="K26" s="115"/>
    </row>
    <row r="27" spans="1:11" ht="35.25" customHeight="1">
      <c r="A27" s="90" t="s">
        <v>39</v>
      </c>
      <c r="B27" s="91" t="s">
        <v>193</v>
      </c>
      <c r="C27" s="96">
        <f>SUM(C28:C31)</f>
        <v>700000</v>
      </c>
      <c r="D27" s="96">
        <f t="shared" ref="D27:I27" si="7">SUM(D28:D33)</f>
        <v>850000</v>
      </c>
      <c r="E27" s="96">
        <f t="shared" si="7"/>
        <v>761470</v>
      </c>
      <c r="F27" s="96">
        <f t="shared" si="7"/>
        <v>0</v>
      </c>
      <c r="G27" s="96">
        <f t="shared" si="7"/>
        <v>761470</v>
      </c>
      <c r="H27" s="96">
        <f t="shared" si="7"/>
        <v>0</v>
      </c>
      <c r="I27" s="96">
        <f t="shared" si="7"/>
        <v>0</v>
      </c>
      <c r="J27" s="89">
        <f>E27/C27*100</f>
        <v>108.78142857142856</v>
      </c>
      <c r="K27" s="89">
        <f>E27/D27*100</f>
        <v>89.584705882352949</v>
      </c>
    </row>
    <row r="28" spans="1:11" ht="24.75" customHeight="1">
      <c r="A28" s="92"/>
      <c r="B28" s="93" t="s">
        <v>34</v>
      </c>
      <c r="C28" s="94">
        <f>'61 (2)'!C28</f>
        <v>260000</v>
      </c>
      <c r="D28" s="94">
        <f>'61 (2)'!D28</f>
        <v>330500</v>
      </c>
      <c r="E28" s="94">
        <f t="shared" si="5"/>
        <v>250148</v>
      </c>
      <c r="F28" s="94">
        <f>'61 (2)'!F28</f>
        <v>0</v>
      </c>
      <c r="G28" s="94">
        <f>'61 (2)'!G28</f>
        <v>250148</v>
      </c>
      <c r="H28" s="94">
        <f>'61 (2)'!H28</f>
        <v>0</v>
      </c>
      <c r="I28" s="94"/>
      <c r="J28" s="115"/>
      <c r="K28" s="115"/>
    </row>
    <row r="29" spans="1:11" ht="24.75" customHeight="1">
      <c r="A29" s="92"/>
      <c r="B29" s="93" t="s">
        <v>35</v>
      </c>
      <c r="C29" s="94">
        <f>'61 (2)'!C29</f>
        <v>439900</v>
      </c>
      <c r="D29" s="94">
        <f>'61 (2)'!D29</f>
        <v>519400</v>
      </c>
      <c r="E29" s="94">
        <f t="shared" si="5"/>
        <v>511267</v>
      </c>
      <c r="F29" s="94">
        <f>'61 (2)'!F29</f>
        <v>0</v>
      </c>
      <c r="G29" s="94">
        <f>'61 (2)'!G29</f>
        <v>511267</v>
      </c>
      <c r="H29" s="94">
        <f>'61 (2)'!H29</f>
        <v>0</v>
      </c>
      <c r="I29" s="94"/>
      <c r="J29" s="115"/>
      <c r="K29" s="115"/>
    </row>
    <row r="30" spans="1:11" ht="24.75" customHeight="1">
      <c r="A30" s="95"/>
      <c r="B30" s="93" t="s">
        <v>37</v>
      </c>
      <c r="C30" s="94">
        <f>'61 (2)'!C30</f>
        <v>100</v>
      </c>
      <c r="D30" s="94">
        <f>'61 (2)'!D30</f>
        <v>100</v>
      </c>
      <c r="E30" s="94">
        <f t="shared" si="5"/>
        <v>55</v>
      </c>
      <c r="F30" s="94">
        <f>'61 (2)'!F30</f>
        <v>0</v>
      </c>
      <c r="G30" s="94">
        <f>'61 (2)'!G30</f>
        <v>55</v>
      </c>
      <c r="H30" s="94">
        <f>'61 (2)'!H30</f>
        <v>0</v>
      </c>
      <c r="I30" s="94"/>
      <c r="J30" s="115"/>
      <c r="K30" s="115"/>
    </row>
    <row r="31" spans="1:11" ht="24.75" customHeight="1">
      <c r="A31" s="92"/>
      <c r="B31" s="93" t="s">
        <v>40</v>
      </c>
      <c r="C31" s="94">
        <f>'61 (2)'!C31</f>
        <v>0</v>
      </c>
      <c r="D31" s="94">
        <f>'61 (2)'!D31</f>
        <v>0</v>
      </c>
      <c r="E31" s="94">
        <f t="shared" si="5"/>
        <v>0</v>
      </c>
      <c r="F31" s="94">
        <f>'61 (2)'!F31</f>
        <v>0</v>
      </c>
      <c r="G31" s="94">
        <f>'61 (2)'!G31</f>
        <v>0</v>
      </c>
      <c r="H31" s="94">
        <f>'61 (2)'!H31</f>
        <v>0</v>
      </c>
      <c r="I31" s="94"/>
      <c r="J31" s="115"/>
      <c r="K31" s="115"/>
    </row>
    <row r="32" spans="1:11" ht="24.75" customHeight="1">
      <c r="A32" s="92"/>
      <c r="B32" s="93" t="s">
        <v>125</v>
      </c>
      <c r="C32" s="94">
        <f>'61 (2)'!C32</f>
        <v>0</v>
      </c>
      <c r="D32" s="94">
        <f>'61 (2)'!D32</f>
        <v>0</v>
      </c>
      <c r="E32" s="94">
        <f t="shared" si="5"/>
        <v>0</v>
      </c>
      <c r="F32" s="94">
        <f>'61 (2)'!F32</f>
        <v>0</v>
      </c>
      <c r="G32" s="94">
        <f>'61 (2)'!G32</f>
        <v>0</v>
      </c>
      <c r="H32" s="94">
        <f>'61 (2)'!H32</f>
        <v>0</v>
      </c>
      <c r="I32" s="94"/>
      <c r="J32" s="115"/>
      <c r="K32" s="115"/>
    </row>
    <row r="33" spans="1:11" ht="24.75" customHeight="1">
      <c r="A33" s="92"/>
      <c r="B33" s="93" t="s">
        <v>124</v>
      </c>
      <c r="C33" s="94">
        <f>'61 (2)'!C33</f>
        <v>0</v>
      </c>
      <c r="D33" s="94">
        <f>'61 (2)'!D33</f>
        <v>0</v>
      </c>
      <c r="E33" s="94">
        <f t="shared" si="5"/>
        <v>0</v>
      </c>
      <c r="F33" s="94">
        <f>'61 (2)'!F33</f>
        <v>0</v>
      </c>
      <c r="G33" s="94">
        <f>'61 (2)'!G33</f>
        <v>0</v>
      </c>
      <c r="H33" s="94">
        <f>'61 (2)'!H33</f>
        <v>0</v>
      </c>
      <c r="I33" s="94"/>
      <c r="J33" s="115"/>
      <c r="K33" s="115"/>
    </row>
    <row r="34" spans="1:11" ht="24.75" customHeight="1">
      <c r="A34" s="90" t="s">
        <v>39</v>
      </c>
      <c r="B34" s="91" t="s">
        <v>42</v>
      </c>
      <c r="C34" s="96">
        <f>SUM(C35:C39)</f>
        <v>1580000</v>
      </c>
      <c r="D34" s="96">
        <f>SUM(D35:D40)</f>
        <v>1750000</v>
      </c>
      <c r="E34" s="96">
        <f t="shared" si="5"/>
        <v>1704495</v>
      </c>
      <c r="F34" s="96">
        <f>SUM(F35:F40)</f>
        <v>313</v>
      </c>
      <c r="G34" s="96">
        <f>SUM(G35:G40)</f>
        <v>709998</v>
      </c>
      <c r="H34" s="96">
        <f>SUM(H35:H40)</f>
        <v>940933</v>
      </c>
      <c r="I34" s="96">
        <f>SUM(I35:I40)</f>
        <v>53251</v>
      </c>
      <c r="J34" s="89">
        <f>E34/C34*100</f>
        <v>107.87943037974684</v>
      </c>
      <c r="K34" s="89">
        <f>E34/D34*100</f>
        <v>97.399714285714296</v>
      </c>
    </row>
    <row r="35" spans="1:11" ht="24.75" customHeight="1">
      <c r="A35" s="92"/>
      <c r="B35" s="93" t="s">
        <v>34</v>
      </c>
      <c r="C35" s="94">
        <f>'61 (2)'!C35</f>
        <v>1306000</v>
      </c>
      <c r="D35" s="94">
        <f>'61 (2)'!D35</f>
        <v>1415000</v>
      </c>
      <c r="E35" s="94">
        <f t="shared" si="5"/>
        <v>1303928</v>
      </c>
      <c r="F35" s="94">
        <f>'61 (2)'!F35</f>
        <v>0</v>
      </c>
      <c r="G35" s="94">
        <f>'61 (2)'!G35</f>
        <v>466659</v>
      </c>
      <c r="H35" s="94">
        <f>'61 (2)'!H35</f>
        <v>784018</v>
      </c>
      <c r="I35" s="94">
        <f>'61 (2)'!I35</f>
        <v>53251</v>
      </c>
      <c r="J35" s="115"/>
      <c r="K35" s="115"/>
    </row>
    <row r="36" spans="1:11" ht="24.75" customHeight="1">
      <c r="A36" s="97"/>
      <c r="B36" s="93" t="s">
        <v>35</v>
      </c>
      <c r="C36" s="94">
        <f>'61 (2)'!C36</f>
        <v>202000</v>
      </c>
      <c r="D36" s="94">
        <f>'61 (2)'!D36</f>
        <v>270700</v>
      </c>
      <c r="E36" s="94">
        <f t="shared" si="5"/>
        <v>305057</v>
      </c>
      <c r="F36" s="94">
        <f>'61 (2)'!F36</f>
        <v>0</v>
      </c>
      <c r="G36" s="94">
        <f>'61 (2)'!G36</f>
        <v>207856</v>
      </c>
      <c r="H36" s="94">
        <f>'61 (2)'!H36</f>
        <v>97201</v>
      </c>
      <c r="I36" s="94">
        <f>'61 (2)'!I36</f>
        <v>0</v>
      </c>
      <c r="J36" s="115"/>
      <c r="K36" s="115"/>
    </row>
    <row r="37" spans="1:11" ht="24.75" customHeight="1">
      <c r="A37" s="92"/>
      <c r="B37" s="93" t="s">
        <v>36</v>
      </c>
      <c r="C37" s="94">
        <f>'61 (2)'!C37</f>
        <v>2000</v>
      </c>
      <c r="D37" s="94">
        <f>'61 (2)'!D37</f>
        <v>2030</v>
      </c>
      <c r="E37" s="94">
        <f t="shared" si="5"/>
        <v>2492</v>
      </c>
      <c r="F37" s="94">
        <f>'61 (2)'!F37</f>
        <v>313</v>
      </c>
      <c r="G37" s="94">
        <f>'61 (2)'!G37</f>
        <v>2175</v>
      </c>
      <c r="H37" s="94">
        <f>'61 (2)'!H37</f>
        <v>4</v>
      </c>
      <c r="I37" s="94">
        <f>'61 (2)'!I37</f>
        <v>0</v>
      </c>
      <c r="J37" s="115"/>
      <c r="K37" s="115"/>
    </row>
    <row r="38" spans="1:11" ht="24.75" customHeight="1">
      <c r="A38" s="92"/>
      <c r="B38" s="93" t="s">
        <v>125</v>
      </c>
      <c r="C38" s="94">
        <f>'61 (2)'!C38</f>
        <v>0</v>
      </c>
      <c r="D38" s="94">
        <f>'61 (2)'!D38</f>
        <v>0</v>
      </c>
      <c r="E38" s="94">
        <f t="shared" si="5"/>
        <v>0</v>
      </c>
      <c r="F38" s="94">
        <f>'61 (2)'!F38</f>
        <v>0</v>
      </c>
      <c r="G38" s="94">
        <f>'61 (2)'!G38</f>
        <v>0</v>
      </c>
      <c r="H38" s="94">
        <f>'61 (2)'!H38</f>
        <v>0</v>
      </c>
      <c r="I38" s="94">
        <f>'61 (2)'!I38</f>
        <v>0</v>
      </c>
      <c r="J38" s="115"/>
      <c r="K38" s="115"/>
    </row>
    <row r="39" spans="1:11" ht="24.75" customHeight="1">
      <c r="A39" s="92"/>
      <c r="B39" s="93" t="s">
        <v>37</v>
      </c>
      <c r="C39" s="94">
        <f>'61 (2)'!C39</f>
        <v>70000</v>
      </c>
      <c r="D39" s="94">
        <f>'61 (2)'!D39</f>
        <v>62270</v>
      </c>
      <c r="E39" s="94">
        <f t="shared" si="5"/>
        <v>93018</v>
      </c>
      <c r="F39" s="94">
        <f>'61 (2)'!F39</f>
        <v>0</v>
      </c>
      <c r="G39" s="94">
        <f>'61 (2)'!G39</f>
        <v>33308</v>
      </c>
      <c r="H39" s="94">
        <f>'61 (2)'!H39</f>
        <v>59710</v>
      </c>
      <c r="I39" s="94"/>
      <c r="J39" s="115"/>
      <c r="K39" s="115"/>
    </row>
    <row r="40" spans="1:11" ht="24.75" customHeight="1">
      <c r="A40" s="92"/>
      <c r="B40" s="93" t="s">
        <v>124</v>
      </c>
      <c r="C40" s="94">
        <f>'61 (2)'!C40</f>
        <v>0</v>
      </c>
      <c r="D40" s="94">
        <f>'61 (2)'!D40</f>
        <v>0</v>
      </c>
      <c r="E40" s="94">
        <f t="shared" si="5"/>
        <v>0</v>
      </c>
      <c r="F40" s="94">
        <f>'61 (2)'!F40</f>
        <v>0</v>
      </c>
      <c r="G40" s="94">
        <f>'61 (2)'!G40</f>
        <v>0</v>
      </c>
      <c r="H40" s="94">
        <f>'61 (2)'!H40</f>
        <v>0</v>
      </c>
      <c r="I40" s="94">
        <f>'61 (2)'!I40</f>
        <v>0</v>
      </c>
      <c r="J40" s="115"/>
      <c r="K40" s="115"/>
    </row>
    <row r="41" spans="1:11" ht="24.75" customHeight="1">
      <c r="A41" s="90" t="s">
        <v>43</v>
      </c>
      <c r="B41" s="98" t="s">
        <v>44</v>
      </c>
      <c r="C41" s="96">
        <f>'61 (2)'!C41</f>
        <v>490000</v>
      </c>
      <c r="D41" s="96">
        <f>'61 (2)'!D41</f>
        <v>650000</v>
      </c>
      <c r="E41" s="96">
        <f t="shared" si="5"/>
        <v>849434</v>
      </c>
      <c r="F41" s="94">
        <f>'61 (2)'!F41</f>
        <v>0</v>
      </c>
      <c r="G41" s="94">
        <f>'61 (2)'!G41</f>
        <v>0</v>
      </c>
      <c r="H41" s="94">
        <f>'61 (2)'!H41</f>
        <v>610083</v>
      </c>
      <c r="I41" s="94">
        <f>'61 (2)'!I41</f>
        <v>239351</v>
      </c>
      <c r="J41" s="89">
        <f>E41/C41*100</f>
        <v>173.35387755102042</v>
      </c>
      <c r="K41" s="89">
        <f>E41/D41*100</f>
        <v>130.68215384615385</v>
      </c>
    </row>
    <row r="42" spans="1:11" ht="24.75" customHeight="1">
      <c r="A42" s="90" t="s">
        <v>45</v>
      </c>
      <c r="B42" s="91" t="s">
        <v>46</v>
      </c>
      <c r="C42" s="96">
        <f>'61 (2)'!C42</f>
        <v>0</v>
      </c>
      <c r="D42" s="96">
        <f>'61 (2)'!D42</f>
        <v>0</v>
      </c>
      <c r="E42" s="96">
        <f t="shared" si="5"/>
        <v>0</v>
      </c>
      <c r="F42" s="94">
        <f>'61 (2)'!F42</f>
        <v>0</v>
      </c>
      <c r="G42" s="94">
        <f>'61 (2)'!G42</f>
        <v>0</v>
      </c>
      <c r="H42" s="94">
        <f>'61 (2)'!H42</f>
        <v>0</v>
      </c>
      <c r="I42" s="94">
        <f>'61 (2)'!I42</f>
        <v>0</v>
      </c>
      <c r="J42" s="89"/>
      <c r="K42" s="89"/>
    </row>
    <row r="43" spans="1:11" ht="24.75" customHeight="1">
      <c r="A43" s="90" t="s">
        <v>47</v>
      </c>
      <c r="B43" s="91" t="s">
        <v>48</v>
      </c>
      <c r="C43" s="96">
        <f>'61 (2)'!C43</f>
        <v>8000</v>
      </c>
      <c r="D43" s="96">
        <f>'61 (2)'!D43</f>
        <v>8000</v>
      </c>
      <c r="E43" s="96">
        <f t="shared" si="5"/>
        <v>12275</v>
      </c>
      <c r="F43" s="94">
        <f>'61 (2)'!F43</f>
        <v>0</v>
      </c>
      <c r="G43" s="94">
        <f>'61 (2)'!G43</f>
        <v>0</v>
      </c>
      <c r="H43" s="94">
        <f>'61 (2)'!H43</f>
        <v>0</v>
      </c>
      <c r="I43" s="94">
        <f>'61 (2)'!I43</f>
        <v>12275</v>
      </c>
      <c r="J43" s="89">
        <f>E43/C43*100</f>
        <v>153.4375</v>
      </c>
      <c r="K43" s="89">
        <f>E43/D43*100</f>
        <v>153.4375</v>
      </c>
    </row>
    <row r="44" spans="1:11" ht="24.75" customHeight="1">
      <c r="A44" s="90" t="s">
        <v>49</v>
      </c>
      <c r="B44" s="91" t="s">
        <v>50</v>
      </c>
      <c r="C44" s="96">
        <f>'61 (2)'!C44</f>
        <v>600000</v>
      </c>
      <c r="D44" s="96">
        <f>'61 (2)'!D44</f>
        <v>910000</v>
      </c>
      <c r="E44" s="96">
        <f t="shared" si="5"/>
        <v>1493751</v>
      </c>
      <c r="F44" s="94">
        <f>'61 (2)'!F44</f>
        <v>0</v>
      </c>
      <c r="G44" s="94">
        <f>'61 (2)'!G44</f>
        <v>914669</v>
      </c>
      <c r="H44" s="94">
        <f>'61 (2)'!H44</f>
        <v>579082</v>
      </c>
      <c r="I44" s="94">
        <f>'61 (2)'!I44</f>
        <v>0</v>
      </c>
      <c r="J44" s="89">
        <f>E44/C44*100</f>
        <v>248.95849999999999</v>
      </c>
      <c r="K44" s="89">
        <f>E44/D44*100</f>
        <v>164.14846153846153</v>
      </c>
    </row>
    <row r="45" spans="1:11" ht="24.75" customHeight="1">
      <c r="A45" s="90" t="s">
        <v>51</v>
      </c>
      <c r="B45" s="91" t="s">
        <v>52</v>
      </c>
      <c r="C45" s="96">
        <f>'61 (2)'!C45</f>
        <v>210000</v>
      </c>
      <c r="D45" s="96">
        <f>'61 (2)'!D45</f>
        <v>170000</v>
      </c>
      <c r="E45" s="96">
        <f t="shared" si="5"/>
        <v>148850</v>
      </c>
      <c r="F45" s="94">
        <f>'61 (2)'!F45</f>
        <v>77402</v>
      </c>
      <c r="G45" s="94">
        <f>'61 (2)'!G45</f>
        <v>71448</v>
      </c>
      <c r="H45" s="94">
        <f>'61 (2)'!H45</f>
        <v>0</v>
      </c>
      <c r="I45" s="94">
        <f>'61 (2)'!I45</f>
        <v>0</v>
      </c>
      <c r="J45" s="89">
        <f>E45/C45*100</f>
        <v>70.88095238095238</v>
      </c>
      <c r="K45" s="89">
        <f>E45/D45*100</f>
        <v>87.558823529411768</v>
      </c>
    </row>
    <row r="46" spans="1:11" s="464" customFormat="1" ht="24.75" customHeight="1">
      <c r="A46" s="95"/>
      <c r="B46" s="99" t="s">
        <v>202</v>
      </c>
      <c r="C46" s="462">
        <f>'61 (2)'!C46</f>
        <v>109200</v>
      </c>
      <c r="D46" s="462">
        <f>'61 (2)'!D46</f>
        <v>88400</v>
      </c>
      <c r="E46" s="462">
        <f t="shared" si="5"/>
        <v>0</v>
      </c>
      <c r="F46" s="462">
        <f>'61 (2)'!F46</f>
        <v>0</v>
      </c>
      <c r="G46" s="462">
        <f>'61 (2)'!G46</f>
        <v>0</v>
      </c>
      <c r="H46" s="462">
        <f>'61 (2)'!H46</f>
        <v>0</v>
      </c>
      <c r="I46" s="462">
        <f>'61 (2)'!I46</f>
        <v>0</v>
      </c>
      <c r="J46" s="463"/>
      <c r="K46" s="463"/>
    </row>
    <row r="47" spans="1:11" s="464" customFormat="1" ht="24.75" customHeight="1">
      <c r="A47" s="95"/>
      <c r="B47" s="99" t="s">
        <v>53</v>
      </c>
      <c r="C47" s="462">
        <f>'61 (2)'!C47</f>
        <v>100800</v>
      </c>
      <c r="D47" s="462">
        <f>'61 (2)'!D47</f>
        <v>81600</v>
      </c>
      <c r="E47" s="462">
        <f t="shared" si="5"/>
        <v>71448</v>
      </c>
      <c r="F47" s="462">
        <f>'61 (2)'!F47</f>
        <v>0</v>
      </c>
      <c r="G47" s="462">
        <f>'61 (2)'!G47</f>
        <v>71448</v>
      </c>
      <c r="H47" s="462">
        <f>'61 (2)'!H47</f>
        <v>0</v>
      </c>
      <c r="I47" s="462">
        <f>'61 (2)'!I47</f>
        <v>0</v>
      </c>
      <c r="J47" s="463"/>
      <c r="K47" s="463"/>
    </row>
    <row r="48" spans="1:11" ht="21.75" customHeight="1">
      <c r="A48" s="90" t="s">
        <v>191</v>
      </c>
      <c r="B48" s="91" t="s">
        <v>54</v>
      </c>
      <c r="C48" s="96">
        <f>'61 (2)'!C48</f>
        <v>134000</v>
      </c>
      <c r="D48" s="96">
        <f>'61 (2)'!D48</f>
        <v>134000</v>
      </c>
      <c r="E48" s="96">
        <f t="shared" si="5"/>
        <v>144427</v>
      </c>
      <c r="F48" s="94">
        <f>'61 (2)'!F48</f>
        <v>35264</v>
      </c>
      <c r="G48" s="94">
        <f>'61 (2)'!G48</f>
        <v>39438</v>
      </c>
      <c r="H48" s="94">
        <f>'61 (2)'!H48</f>
        <v>58963</v>
      </c>
      <c r="I48" s="94">
        <f>'61 (2)'!I48</f>
        <v>10762</v>
      </c>
      <c r="J48" s="89">
        <f>E48/C48*100</f>
        <v>107.78134328358209</v>
      </c>
      <c r="K48" s="89">
        <f>E48/D48*100</f>
        <v>107.78134328358209</v>
      </c>
    </row>
    <row r="49" spans="1:11" ht="31.5">
      <c r="A49" s="100"/>
      <c r="B49" s="99" t="s">
        <v>55</v>
      </c>
      <c r="C49" s="96">
        <f>'61 (2)'!C49</f>
        <v>0</v>
      </c>
      <c r="D49" s="96">
        <f>'61 (2)'!D49</f>
        <v>0</v>
      </c>
      <c r="E49" s="94">
        <f t="shared" si="5"/>
        <v>35264</v>
      </c>
      <c r="F49" s="94">
        <f>'61 (2)'!F49</f>
        <v>35264</v>
      </c>
      <c r="G49" s="94">
        <f>'61 (2)'!G49</f>
        <v>0</v>
      </c>
      <c r="H49" s="94">
        <f>'61 (2)'!H49</f>
        <v>0</v>
      </c>
      <c r="I49" s="94">
        <f>'61 (2)'!I49</f>
        <v>0</v>
      </c>
      <c r="J49" s="89"/>
      <c r="K49" s="89"/>
    </row>
    <row r="50" spans="1:11" ht="31.5">
      <c r="A50" s="92"/>
      <c r="B50" s="99" t="s">
        <v>183</v>
      </c>
      <c r="C50" s="96">
        <f>'61 (2)'!C50</f>
        <v>0</v>
      </c>
      <c r="D50" s="96">
        <f>'61 (2)'!D50</f>
        <v>0</v>
      </c>
      <c r="E50" s="94">
        <f t="shared" si="5"/>
        <v>109163</v>
      </c>
      <c r="F50" s="94">
        <f>'61 (2)'!F50</f>
        <v>0</v>
      </c>
      <c r="G50" s="94">
        <f>'61 (2)'!G50</f>
        <v>39438</v>
      </c>
      <c r="H50" s="94">
        <f>'61 (2)'!H50</f>
        <v>58963</v>
      </c>
      <c r="I50" s="94">
        <f>'61 (2)'!I50</f>
        <v>10762</v>
      </c>
      <c r="J50" s="89"/>
      <c r="K50" s="89"/>
    </row>
    <row r="51" spans="1:11" ht="31.5">
      <c r="A51" s="92"/>
      <c r="B51" s="99" t="s">
        <v>56</v>
      </c>
      <c r="C51" s="96">
        <f>'61 (2)'!C51</f>
        <v>0</v>
      </c>
      <c r="D51" s="96">
        <f>'61 (2)'!D51</f>
        <v>0</v>
      </c>
      <c r="E51" s="94">
        <f t="shared" si="5"/>
        <v>0</v>
      </c>
      <c r="F51" s="94">
        <f>'61 (2)'!F51</f>
        <v>0</v>
      </c>
      <c r="G51" s="94">
        <f>'61 (2)'!G51</f>
        <v>0</v>
      </c>
      <c r="H51" s="94">
        <f>'61 (2)'!H51</f>
        <v>0</v>
      </c>
      <c r="I51" s="94">
        <f>'61 (2)'!I51</f>
        <v>0</v>
      </c>
      <c r="J51" s="89"/>
      <c r="K51" s="89"/>
    </row>
    <row r="52" spans="1:11" ht="19.5" customHeight="1">
      <c r="A52" s="90" t="s">
        <v>57</v>
      </c>
      <c r="B52" s="101" t="s">
        <v>58</v>
      </c>
      <c r="C52" s="96">
        <f>'61 (2)'!C52</f>
        <v>4700000</v>
      </c>
      <c r="D52" s="96">
        <f>'61 (2)'!D52</f>
        <v>5400000</v>
      </c>
      <c r="E52" s="96">
        <f t="shared" si="5"/>
        <v>4106899</v>
      </c>
      <c r="F52" s="94">
        <f>'61 (2)'!F52</f>
        <v>0</v>
      </c>
      <c r="G52" s="94">
        <f>'61 (2)'!G52</f>
        <v>1342135</v>
      </c>
      <c r="H52" s="94">
        <f>'61 (2)'!H52</f>
        <v>2764764</v>
      </c>
      <c r="I52" s="94">
        <f>'61 (2)'!I52</f>
        <v>0</v>
      </c>
      <c r="J52" s="89">
        <f>E52/C52*100</f>
        <v>87.380829787234035</v>
      </c>
      <c r="K52" s="89">
        <f>E52/D52*100</f>
        <v>76.053685185185188</v>
      </c>
    </row>
    <row r="53" spans="1:11" ht="31.5">
      <c r="A53" s="97"/>
      <c r="B53" s="102" t="s">
        <v>195</v>
      </c>
      <c r="C53" s="96">
        <f>'61 (2)'!C53</f>
        <v>0</v>
      </c>
      <c r="D53" s="96">
        <f>'61 (2)'!D53</f>
        <v>0</v>
      </c>
      <c r="E53" s="96">
        <f t="shared" si="5"/>
        <v>0</v>
      </c>
      <c r="F53" s="94">
        <f>'61 (2)'!F53</f>
        <v>0</v>
      </c>
      <c r="G53" s="94">
        <f>'61 (2)'!G53</f>
        <v>0</v>
      </c>
      <c r="H53" s="94">
        <f>'61 (2)'!H53</f>
        <v>0</v>
      </c>
      <c r="I53" s="94">
        <f>'61 (2)'!I53</f>
        <v>0</v>
      </c>
      <c r="J53" s="89"/>
      <c r="K53" s="89"/>
    </row>
    <row r="54" spans="1:11" ht="31.5">
      <c r="A54" s="92"/>
      <c r="B54" s="102" t="s">
        <v>59</v>
      </c>
      <c r="C54" s="96">
        <f>'61 (2)'!C54</f>
        <v>4700000</v>
      </c>
      <c r="D54" s="96">
        <f>'61 (2)'!D54</f>
        <v>5400000</v>
      </c>
      <c r="E54" s="94">
        <f t="shared" si="5"/>
        <v>4106899</v>
      </c>
      <c r="F54" s="94">
        <f>'61 (2)'!F54</f>
        <v>0</v>
      </c>
      <c r="G54" s="94">
        <f>'61 (2)'!G54</f>
        <v>1342135</v>
      </c>
      <c r="H54" s="94">
        <f>'61 (2)'!H54</f>
        <v>2764764</v>
      </c>
      <c r="I54" s="94">
        <f>'61 (2)'!I54</f>
        <v>0</v>
      </c>
      <c r="J54" s="115"/>
      <c r="K54" s="115"/>
    </row>
    <row r="55" spans="1:11" ht="25.5" customHeight="1">
      <c r="A55" s="90" t="s">
        <v>60</v>
      </c>
      <c r="B55" s="91" t="s">
        <v>61</v>
      </c>
      <c r="C55" s="96">
        <f>'61 (2)'!C55</f>
        <v>606000</v>
      </c>
      <c r="D55" s="96">
        <f>'61 (2)'!D55</f>
        <v>1030000</v>
      </c>
      <c r="E55" s="96">
        <f t="shared" si="5"/>
        <v>1408999</v>
      </c>
      <c r="F55" s="94">
        <f>'61 (2)'!F55</f>
        <v>0</v>
      </c>
      <c r="G55" s="94">
        <f>'61 (2)'!G55</f>
        <v>1302146</v>
      </c>
      <c r="H55" s="94">
        <f>'61 (2)'!H55</f>
        <v>106853</v>
      </c>
      <c r="I55" s="94">
        <f>'61 (2)'!I55</f>
        <v>0</v>
      </c>
      <c r="J55" s="89">
        <f>E55/C55*100</f>
        <v>232.50808580858086</v>
      </c>
      <c r="K55" s="89">
        <f>E55/D55*100</f>
        <v>136.79601941747572</v>
      </c>
    </row>
    <row r="56" spans="1:11" ht="25.5" customHeight="1">
      <c r="A56" s="90" t="s">
        <v>62</v>
      </c>
      <c r="B56" s="91" t="s">
        <v>66</v>
      </c>
      <c r="C56" s="96">
        <f>'61 (2)'!C56</f>
        <v>210000</v>
      </c>
      <c r="D56" s="96">
        <f>'61 (2)'!D56</f>
        <v>210000</v>
      </c>
      <c r="E56" s="96">
        <f t="shared" si="5"/>
        <v>325837.59999999998</v>
      </c>
      <c r="F56" s="96">
        <f>'61 (2)'!F56</f>
        <v>146610</v>
      </c>
      <c r="G56" s="96">
        <f>'61 (2)'!G56</f>
        <v>115518.6</v>
      </c>
      <c r="H56" s="96">
        <f>'61 (2)'!H56</f>
        <v>52811</v>
      </c>
      <c r="I56" s="96">
        <f>'61 (2)'!I56</f>
        <v>10898</v>
      </c>
      <c r="J56" s="89">
        <f>E56/C56*100</f>
        <v>155.1607619047619</v>
      </c>
      <c r="K56" s="89">
        <f>E56/D56*100</f>
        <v>155.1607619047619</v>
      </c>
    </row>
    <row r="57" spans="1:11" ht="23.25" customHeight="1">
      <c r="A57" s="97"/>
      <c r="B57" s="99" t="s">
        <v>198</v>
      </c>
      <c r="C57" s="96">
        <f>'61 (2)'!C57</f>
        <v>0</v>
      </c>
      <c r="D57" s="96">
        <f>'61 (2)'!D57</f>
        <v>0</v>
      </c>
      <c r="E57" s="94">
        <f t="shared" si="5"/>
        <v>0</v>
      </c>
      <c r="F57" s="96">
        <f>'61 (2)'!F57</f>
        <v>0</v>
      </c>
      <c r="G57" s="96">
        <f>'61 (2)'!G57</f>
        <v>0</v>
      </c>
      <c r="H57" s="96">
        <f>'61 (2)'!H57</f>
        <v>0</v>
      </c>
      <c r="I57" s="96">
        <f>'61 (2)'!I57</f>
        <v>0</v>
      </c>
      <c r="J57" s="89"/>
      <c r="K57" s="89"/>
    </row>
    <row r="58" spans="1:11" ht="32.25" customHeight="1">
      <c r="A58" s="90" t="s">
        <v>63</v>
      </c>
      <c r="B58" s="91" t="s">
        <v>67</v>
      </c>
      <c r="C58" s="96">
        <f>'61 (2)'!C58</f>
        <v>62000</v>
      </c>
      <c r="D58" s="96">
        <f>'61 (2)'!D58</f>
        <v>78000</v>
      </c>
      <c r="E58" s="96">
        <f t="shared" si="5"/>
        <v>89920</v>
      </c>
      <c r="F58" s="96">
        <f>'61 (2)'!F58</f>
        <v>35216</v>
      </c>
      <c r="G58" s="96">
        <f>'61 (2)'!G58</f>
        <v>54401</v>
      </c>
      <c r="H58" s="96">
        <f>'61 (2)'!H58</f>
        <v>303</v>
      </c>
      <c r="I58" s="96">
        <f>'61 (2)'!I58</f>
        <v>0</v>
      </c>
      <c r="J58" s="89">
        <f>E58/C58*100</f>
        <v>145.03225806451613</v>
      </c>
      <c r="K58" s="89">
        <f>E58/D58*100</f>
        <v>115.28205128205128</v>
      </c>
    </row>
    <row r="59" spans="1:11" ht="37.5" customHeight="1">
      <c r="A59" s="90" t="s">
        <v>64</v>
      </c>
      <c r="B59" s="91" t="s">
        <v>68</v>
      </c>
      <c r="C59" s="96">
        <f>'61 (2)'!C59</f>
        <v>0</v>
      </c>
      <c r="D59" s="96">
        <f>'61 (2)'!D59</f>
        <v>0</v>
      </c>
      <c r="E59" s="96">
        <f t="shared" si="5"/>
        <v>368</v>
      </c>
      <c r="F59" s="96">
        <f>'61 (2)'!F59</f>
        <v>0</v>
      </c>
      <c r="G59" s="94">
        <f>'61 (2)'!G59</f>
        <v>0</v>
      </c>
      <c r="H59" s="94">
        <f>'61 (2)'!H59</f>
        <v>0</v>
      </c>
      <c r="I59" s="94">
        <f>'61 (2)'!I59</f>
        <v>368</v>
      </c>
      <c r="J59" s="89"/>
      <c r="K59" s="89"/>
    </row>
    <row r="60" spans="1:11" ht="30.75" customHeight="1">
      <c r="A60" s="90" t="s">
        <v>65</v>
      </c>
      <c r="B60" s="91" t="s">
        <v>69</v>
      </c>
      <c r="C60" s="96">
        <f>'61 (2)'!C60</f>
        <v>10000</v>
      </c>
      <c r="D60" s="96">
        <f>'61 (2)'!D60</f>
        <v>10000</v>
      </c>
      <c r="E60" s="96">
        <f t="shared" si="5"/>
        <v>11642</v>
      </c>
      <c r="F60" s="94">
        <f>'61 (2)'!F60</f>
        <v>0</v>
      </c>
      <c r="G60" s="94">
        <f>'61 (2)'!G60</f>
        <v>11642</v>
      </c>
      <c r="H60" s="94">
        <f>'61 (2)'!H60</f>
        <v>0</v>
      </c>
      <c r="I60" s="94">
        <f>'61 (2)'!I60</f>
        <v>0</v>
      </c>
      <c r="J60" s="89"/>
      <c r="K60" s="89"/>
    </row>
    <row r="61" spans="1:11" ht="31.5">
      <c r="A61" s="90" t="s">
        <v>201</v>
      </c>
      <c r="B61" s="91" t="s">
        <v>70</v>
      </c>
      <c r="C61" s="96">
        <f>'61 (2)'!C61</f>
        <v>820000</v>
      </c>
      <c r="D61" s="96">
        <f>'61 (2)'!D61</f>
        <v>850000</v>
      </c>
      <c r="E61" s="96">
        <f t="shared" si="5"/>
        <v>962895.6</v>
      </c>
      <c r="F61" s="94">
        <f>'61 (2)'!F61</f>
        <v>0</v>
      </c>
      <c r="G61" s="94">
        <f>'61 (2)'!G61</f>
        <v>962895.6</v>
      </c>
      <c r="H61" s="94">
        <f>'61 (2)'!H61</f>
        <v>0</v>
      </c>
      <c r="I61" s="94">
        <f>'61 (2)'!I61</f>
        <v>0</v>
      </c>
      <c r="J61" s="89">
        <f>E61/C61*100</f>
        <v>117.42629268292684</v>
      </c>
      <c r="K61" s="89">
        <f>E61/D61*100</f>
        <v>113.28183529411764</v>
      </c>
    </row>
    <row r="62" spans="1:11" ht="24" customHeight="1">
      <c r="A62" s="106" t="s">
        <v>73</v>
      </c>
      <c r="B62" s="104" t="s">
        <v>74</v>
      </c>
      <c r="C62" s="96">
        <f t="shared" ref="C62:I62" si="8">SUM(C63:C68)</f>
        <v>1150000</v>
      </c>
      <c r="D62" s="96">
        <f t="shared" si="8"/>
        <v>1150000</v>
      </c>
      <c r="E62" s="96">
        <f>SUM(E63:E69)</f>
        <v>1044030</v>
      </c>
      <c r="F62" s="96">
        <f>SUM(F63:F69)</f>
        <v>1044030</v>
      </c>
      <c r="G62" s="96">
        <f t="shared" si="8"/>
        <v>0</v>
      </c>
      <c r="H62" s="96">
        <f t="shared" si="8"/>
        <v>0</v>
      </c>
      <c r="I62" s="96">
        <f t="shared" si="8"/>
        <v>0</v>
      </c>
      <c r="J62" s="89">
        <f>E62/C62*100</f>
        <v>90.785217391304357</v>
      </c>
      <c r="K62" s="89">
        <f>E62/D62*100</f>
        <v>90.785217391304357</v>
      </c>
    </row>
    <row r="63" spans="1:11" ht="24" customHeight="1">
      <c r="A63" s="103">
        <v>1</v>
      </c>
      <c r="B63" s="105" t="s">
        <v>75</v>
      </c>
      <c r="C63" s="94">
        <f>'61 (2)'!C63</f>
        <v>105000</v>
      </c>
      <c r="D63" s="94">
        <f>'61 (2)'!D63</f>
        <v>105000</v>
      </c>
      <c r="E63" s="94">
        <f t="shared" ref="E63:E88" si="9">SUM(F63:I63)</f>
        <v>78320</v>
      </c>
      <c r="F63" s="94">
        <f>'61 (2)'!F63</f>
        <v>78320</v>
      </c>
      <c r="G63" s="94"/>
      <c r="H63" s="94"/>
      <c r="I63" s="94"/>
      <c r="J63" s="115">
        <f>E63/C63*100</f>
        <v>74.590476190476195</v>
      </c>
      <c r="K63" s="115">
        <f>E63/D63*100</f>
        <v>74.590476190476195</v>
      </c>
    </row>
    <row r="64" spans="1:11" ht="24" customHeight="1">
      <c r="A64" s="103">
        <v>2</v>
      </c>
      <c r="B64" s="105" t="s">
        <v>76</v>
      </c>
      <c r="C64" s="94">
        <f>'61 (2)'!C64</f>
        <v>140000</v>
      </c>
      <c r="D64" s="94">
        <f>'61 (2)'!D64</f>
        <v>140000</v>
      </c>
      <c r="E64" s="94">
        <f t="shared" si="9"/>
        <v>136685</v>
      </c>
      <c r="F64" s="94">
        <f>'61 (2)'!F64</f>
        <v>136685</v>
      </c>
      <c r="G64" s="94"/>
      <c r="H64" s="94"/>
      <c r="I64" s="94"/>
      <c r="J64" s="115">
        <f>E64/C64*100</f>
        <v>97.632142857142853</v>
      </c>
      <c r="K64" s="115">
        <f>E64/D64*100</f>
        <v>97.632142857142853</v>
      </c>
    </row>
    <row r="65" spans="1:12" ht="24" customHeight="1">
      <c r="A65" s="103">
        <v>3</v>
      </c>
      <c r="B65" s="105" t="s">
        <v>203</v>
      </c>
      <c r="C65" s="94">
        <f>'61 (2)'!C65</f>
        <v>809400</v>
      </c>
      <c r="D65" s="94">
        <f>'61 (2)'!D65</f>
        <v>809400</v>
      </c>
      <c r="E65" s="94">
        <f t="shared" si="9"/>
        <v>819147</v>
      </c>
      <c r="F65" s="94">
        <f>'61 (2)'!F65</f>
        <v>819147</v>
      </c>
      <c r="G65" s="94"/>
      <c r="H65" s="94"/>
      <c r="I65" s="94"/>
      <c r="J65" s="115">
        <f>E65/C65*100</f>
        <v>101.20422535211269</v>
      </c>
      <c r="K65" s="115">
        <f>E65/D65*100</f>
        <v>101.20422535211269</v>
      </c>
    </row>
    <row r="66" spans="1:12" ht="24" customHeight="1">
      <c r="A66" s="103">
        <v>4</v>
      </c>
      <c r="B66" s="105" t="s">
        <v>77</v>
      </c>
      <c r="C66" s="94">
        <f>'61 (2)'!C66</f>
        <v>200</v>
      </c>
      <c r="D66" s="94">
        <f>'61 (2)'!D66</f>
        <v>200</v>
      </c>
      <c r="E66" s="94">
        <f t="shared" si="9"/>
        <v>624</v>
      </c>
      <c r="F66" s="94">
        <f>'61 (2)'!F66</f>
        <v>624</v>
      </c>
      <c r="G66" s="94"/>
      <c r="H66" s="94"/>
      <c r="I66" s="94"/>
      <c r="J66" s="89"/>
      <c r="K66" s="89"/>
    </row>
    <row r="67" spans="1:12" ht="24" customHeight="1">
      <c r="A67" s="103">
        <v>5</v>
      </c>
      <c r="B67" s="105" t="s">
        <v>205</v>
      </c>
      <c r="C67" s="94">
        <f>'61 (2)'!C67</f>
        <v>95400</v>
      </c>
      <c r="D67" s="94">
        <f>'61 (2)'!D67</f>
        <v>95400</v>
      </c>
      <c r="E67" s="94">
        <f t="shared" si="9"/>
        <v>1139</v>
      </c>
      <c r="F67" s="94">
        <f>'61 (2)'!F67</f>
        <v>1139</v>
      </c>
      <c r="G67" s="94"/>
      <c r="H67" s="94"/>
      <c r="I67" s="94"/>
      <c r="J67" s="89"/>
      <c r="K67" s="89"/>
    </row>
    <row r="68" spans="1:12" ht="24" customHeight="1">
      <c r="A68" s="103">
        <v>6</v>
      </c>
      <c r="B68" s="105" t="s">
        <v>465</v>
      </c>
      <c r="C68" s="94">
        <f>'61 (2)'!C69</f>
        <v>0</v>
      </c>
      <c r="D68" s="94">
        <f>'61 (2)'!D69</f>
        <v>0</v>
      </c>
      <c r="E68" s="94">
        <f t="shared" si="9"/>
        <v>4396</v>
      </c>
      <c r="F68" s="94">
        <f>'61 (2)'!F68</f>
        <v>4396</v>
      </c>
      <c r="G68" s="94"/>
      <c r="H68" s="94"/>
      <c r="I68" s="94"/>
      <c r="J68" s="89"/>
      <c r="K68" s="89"/>
    </row>
    <row r="69" spans="1:12" ht="24" customHeight="1">
      <c r="A69" s="103">
        <v>7</v>
      </c>
      <c r="B69" s="105" t="s">
        <v>72</v>
      </c>
      <c r="C69" s="94"/>
      <c r="D69" s="94"/>
      <c r="E69" s="94">
        <f t="shared" si="9"/>
        <v>3719</v>
      </c>
      <c r="F69" s="94">
        <f>'61 (2)'!F69</f>
        <v>3719</v>
      </c>
      <c r="G69" s="94"/>
      <c r="H69" s="94"/>
      <c r="I69" s="94"/>
      <c r="J69" s="89"/>
      <c r="K69" s="89"/>
    </row>
    <row r="70" spans="1:12" ht="24" customHeight="1">
      <c r="A70" s="106" t="s">
        <v>79</v>
      </c>
      <c r="B70" s="88" t="s">
        <v>131</v>
      </c>
      <c r="C70" s="94"/>
      <c r="D70" s="94"/>
      <c r="E70" s="96">
        <f t="shared" si="9"/>
        <v>0</v>
      </c>
      <c r="F70" s="94"/>
      <c r="G70" s="94"/>
      <c r="H70" s="94"/>
      <c r="I70" s="94"/>
      <c r="J70" s="89"/>
      <c r="K70" s="89"/>
    </row>
    <row r="71" spans="1:12" ht="24" customHeight="1">
      <c r="A71" s="106" t="s">
        <v>80</v>
      </c>
      <c r="B71" s="109" t="s">
        <v>189</v>
      </c>
      <c r="C71" s="96"/>
      <c r="D71" s="96">
        <f>SUM(D72:D72)</f>
        <v>0</v>
      </c>
      <c r="E71" s="96">
        <f>SUM(F71:I71)</f>
        <v>9226</v>
      </c>
      <c r="F71" s="96">
        <f>SUM(F72:F73)</f>
        <v>0</v>
      </c>
      <c r="G71" s="96">
        <f t="shared" ref="G71:I71" si="10">SUM(G72:G73)</f>
        <v>1000</v>
      </c>
      <c r="H71" s="96">
        <f t="shared" si="10"/>
        <v>337</v>
      </c>
      <c r="I71" s="96">
        <f t="shared" si="10"/>
        <v>7889</v>
      </c>
      <c r="J71" s="89"/>
      <c r="K71" s="89">
        <v>0</v>
      </c>
    </row>
    <row r="72" spans="1:12" ht="24" customHeight="1">
      <c r="A72" s="103">
        <v>1</v>
      </c>
      <c r="B72" s="107" t="s">
        <v>190</v>
      </c>
      <c r="C72" s="94"/>
      <c r="D72" s="94">
        <f>'61 (2)'!D71</f>
        <v>0</v>
      </c>
      <c r="E72" s="94">
        <f t="shared" si="9"/>
        <v>9226</v>
      </c>
      <c r="F72" s="94">
        <f>'61 (2)'!F71</f>
        <v>0</v>
      </c>
      <c r="G72" s="94">
        <f>'61 (2)'!G71</f>
        <v>1000</v>
      </c>
      <c r="H72" s="94">
        <f>'61 (2)'!H71</f>
        <v>337</v>
      </c>
      <c r="I72" s="94">
        <f>'61 (2)'!I71</f>
        <v>7889</v>
      </c>
      <c r="J72" s="89"/>
      <c r="K72" s="115">
        <v>0</v>
      </c>
    </row>
    <row r="73" spans="1:12" ht="24" customHeight="1">
      <c r="A73" s="103">
        <v>2</v>
      </c>
      <c r="B73" s="107" t="s">
        <v>207</v>
      </c>
      <c r="C73" s="94"/>
      <c r="D73" s="94"/>
      <c r="E73" s="94">
        <f t="shared" si="9"/>
        <v>0</v>
      </c>
      <c r="F73" s="94"/>
      <c r="G73" s="94">
        <f>'61 (2)'!G72</f>
        <v>0</v>
      </c>
      <c r="H73" s="94">
        <f>'61 (2)'!H72</f>
        <v>0</v>
      </c>
      <c r="I73" s="94">
        <f>'61 (2)'!I72</f>
        <v>0</v>
      </c>
      <c r="J73" s="89"/>
      <c r="K73" s="115"/>
    </row>
    <row r="74" spans="1:12" ht="24" customHeight="1">
      <c r="A74" s="106" t="s">
        <v>2</v>
      </c>
      <c r="B74" s="108" t="s">
        <v>85</v>
      </c>
      <c r="C74" s="96">
        <f>C75+C78</f>
        <v>0</v>
      </c>
      <c r="D74" s="94"/>
      <c r="E74" s="96">
        <f t="shared" si="9"/>
        <v>63128</v>
      </c>
      <c r="F74" s="94">
        <f>F75+F78</f>
        <v>44528</v>
      </c>
      <c r="G74" s="94">
        <f t="shared" ref="G74:I74" si="11">G75+G78</f>
        <v>18600</v>
      </c>
      <c r="H74" s="94">
        <f t="shared" si="11"/>
        <v>0</v>
      </c>
      <c r="I74" s="94">
        <f t="shared" si="11"/>
        <v>0</v>
      </c>
      <c r="J74" s="89"/>
      <c r="K74" s="89"/>
    </row>
    <row r="75" spans="1:12" ht="24" customHeight="1">
      <c r="A75" s="106" t="s">
        <v>86</v>
      </c>
      <c r="B75" s="109" t="s">
        <v>184</v>
      </c>
      <c r="C75" s="94">
        <f>C76</f>
        <v>0</v>
      </c>
      <c r="D75" s="94">
        <f>SUM(D76:D77)</f>
        <v>0</v>
      </c>
      <c r="E75" s="96">
        <f t="shared" si="9"/>
        <v>63128</v>
      </c>
      <c r="F75" s="94">
        <f>SUM(F76:F77)</f>
        <v>44528</v>
      </c>
      <c r="G75" s="94">
        <f t="shared" ref="G75:I75" si="12">SUM(G76:G77)</f>
        <v>18600</v>
      </c>
      <c r="H75" s="94">
        <f t="shared" si="12"/>
        <v>0</v>
      </c>
      <c r="I75" s="94">
        <f t="shared" si="12"/>
        <v>0</v>
      </c>
      <c r="J75" s="89"/>
      <c r="K75" s="89"/>
    </row>
    <row r="76" spans="1:12" ht="24" customHeight="1">
      <c r="A76" s="103">
        <v>1</v>
      </c>
      <c r="B76" s="107" t="s">
        <v>87</v>
      </c>
      <c r="C76" s="94">
        <v>0</v>
      </c>
      <c r="D76" s="94"/>
      <c r="E76" s="96">
        <f t="shared" si="9"/>
        <v>63128</v>
      </c>
      <c r="F76" s="94">
        <v>44528</v>
      </c>
      <c r="G76" s="94">
        <v>18600</v>
      </c>
      <c r="H76" s="94"/>
      <c r="I76" s="94"/>
      <c r="J76" s="89"/>
      <c r="K76" s="89"/>
      <c r="L76" s="117"/>
    </row>
    <row r="77" spans="1:12" ht="24" customHeight="1">
      <c r="A77" s="103">
        <f>A76+1</f>
        <v>2</v>
      </c>
      <c r="B77" s="107" t="s">
        <v>89</v>
      </c>
      <c r="C77" s="94"/>
      <c r="D77" s="94"/>
      <c r="E77" s="96">
        <f t="shared" si="9"/>
        <v>0</v>
      </c>
      <c r="F77" s="94"/>
      <c r="G77" s="94"/>
      <c r="H77" s="94"/>
      <c r="I77" s="94"/>
      <c r="J77" s="89"/>
      <c r="K77" s="89"/>
    </row>
    <row r="78" spans="1:12" ht="24" customHeight="1">
      <c r="A78" s="106" t="s">
        <v>71</v>
      </c>
      <c r="B78" s="109" t="s">
        <v>88</v>
      </c>
      <c r="C78" s="94">
        <f>C79</f>
        <v>0</v>
      </c>
      <c r="D78" s="94"/>
      <c r="E78" s="96">
        <f t="shared" si="9"/>
        <v>0</v>
      </c>
      <c r="F78" s="94"/>
      <c r="G78" s="94">
        <f>G79</f>
        <v>0</v>
      </c>
      <c r="H78" s="94"/>
      <c r="I78" s="94"/>
      <c r="J78" s="89"/>
      <c r="K78" s="89"/>
    </row>
    <row r="79" spans="1:12" ht="24" customHeight="1">
      <c r="A79" s="103">
        <v>1</v>
      </c>
      <c r="B79" s="110" t="s">
        <v>87</v>
      </c>
      <c r="C79" s="94"/>
      <c r="D79" s="94"/>
      <c r="E79" s="96">
        <f t="shared" si="9"/>
        <v>0</v>
      </c>
      <c r="F79" s="94"/>
      <c r="G79" s="94">
        <v>0</v>
      </c>
      <c r="H79" s="94"/>
      <c r="I79" s="94"/>
      <c r="J79" s="89"/>
      <c r="K79" s="89"/>
    </row>
    <row r="80" spans="1:12" ht="24" customHeight="1">
      <c r="A80" s="103">
        <v>2</v>
      </c>
      <c r="B80" s="110" t="s">
        <v>89</v>
      </c>
      <c r="C80" s="94"/>
      <c r="D80" s="94"/>
      <c r="E80" s="96">
        <f t="shared" si="9"/>
        <v>0</v>
      </c>
      <c r="F80" s="94"/>
      <c r="G80" s="94"/>
      <c r="H80" s="94"/>
      <c r="I80" s="94"/>
      <c r="J80" s="89"/>
      <c r="K80" s="89"/>
    </row>
    <row r="81" spans="1:13" ht="24" customHeight="1">
      <c r="A81" s="106" t="s">
        <v>90</v>
      </c>
      <c r="B81" s="109" t="s">
        <v>91</v>
      </c>
      <c r="C81" s="96">
        <f t="shared" ref="C81:I81" si="13">C82+C85</f>
        <v>3676580</v>
      </c>
      <c r="D81" s="96">
        <f t="shared" si="13"/>
        <v>4023225</v>
      </c>
      <c r="E81" s="96">
        <f t="shared" si="13"/>
        <v>10787310.800000001</v>
      </c>
      <c r="F81" s="96">
        <f t="shared" si="13"/>
        <v>12180</v>
      </c>
      <c r="G81" s="96">
        <f t="shared" si="13"/>
        <v>4089608</v>
      </c>
      <c r="H81" s="96">
        <f t="shared" si="13"/>
        <v>5236371.8</v>
      </c>
      <c r="I81" s="96">
        <f t="shared" si="13"/>
        <v>1449151</v>
      </c>
      <c r="J81" s="89">
        <f>E81/C81*100</f>
        <v>293.40612199380945</v>
      </c>
      <c r="K81" s="89">
        <f>E81/D81*100</f>
        <v>268.12596362370982</v>
      </c>
      <c r="L81" s="19"/>
      <c r="M81" s="19"/>
    </row>
    <row r="82" spans="1:13" ht="24" customHeight="1">
      <c r="A82" s="106" t="s">
        <v>86</v>
      </c>
      <c r="B82" s="109" t="s">
        <v>92</v>
      </c>
      <c r="C82" s="96">
        <f t="shared" ref="C82:I82" si="14">C83+C84</f>
        <v>3676580</v>
      </c>
      <c r="D82" s="96">
        <f t="shared" si="14"/>
        <v>4023225</v>
      </c>
      <c r="E82" s="96">
        <f t="shared" si="14"/>
        <v>10763262.800000001</v>
      </c>
      <c r="F82" s="96">
        <f t="shared" si="14"/>
        <v>0</v>
      </c>
      <c r="G82" s="96">
        <f t="shared" si="14"/>
        <v>4089608</v>
      </c>
      <c r="H82" s="96">
        <f t="shared" si="14"/>
        <v>5224503.8</v>
      </c>
      <c r="I82" s="96">
        <f t="shared" si="14"/>
        <v>1449151</v>
      </c>
      <c r="J82" s="89">
        <f>E82/C82*100</f>
        <v>292.75203585941284</v>
      </c>
      <c r="K82" s="89">
        <f>E82/D82*100</f>
        <v>267.52823419023298</v>
      </c>
      <c r="L82" s="19"/>
      <c r="M82" s="19"/>
    </row>
    <row r="83" spans="1:13" ht="24" customHeight="1">
      <c r="A83" s="111" t="s">
        <v>93</v>
      </c>
      <c r="B83" s="112" t="s">
        <v>94</v>
      </c>
      <c r="C83" s="94">
        <v>2504745</v>
      </c>
      <c r="D83" s="94">
        <v>2504745</v>
      </c>
      <c r="E83" s="94">
        <f t="shared" si="9"/>
        <v>6096452.4000000004</v>
      </c>
      <c r="F83" s="94"/>
      <c r="G83" s="94">
        <v>2504745</v>
      </c>
      <c r="H83" s="94">
        <f>3082130+0.4</f>
        <v>3082130.4</v>
      </c>
      <c r="I83" s="94">
        <f>509577</f>
        <v>509577</v>
      </c>
      <c r="J83" s="115">
        <f>E83/C83*100</f>
        <v>243.39613014498482</v>
      </c>
      <c r="K83" s="115">
        <f>E83/D83*100</f>
        <v>243.39613014498482</v>
      </c>
      <c r="L83" s="19"/>
      <c r="M83" s="19"/>
    </row>
    <row r="84" spans="1:13" ht="24" customHeight="1">
      <c r="A84" s="111" t="s">
        <v>95</v>
      </c>
      <c r="B84" s="112" t="s">
        <v>96</v>
      </c>
      <c r="C84" s="94">
        <v>1171835</v>
      </c>
      <c r="D84" s="94">
        <v>1518480</v>
      </c>
      <c r="E84" s="94">
        <f>SUM(F84:I84)</f>
        <v>4666810.4000000004</v>
      </c>
      <c r="F84" s="94">
        <v>0</v>
      </c>
      <c r="G84" s="94">
        <v>1584863</v>
      </c>
      <c r="H84" s="94">
        <f>2142373+0.4</f>
        <v>2142373.4</v>
      </c>
      <c r="I84" s="94">
        <f>939574</f>
        <v>939574</v>
      </c>
      <c r="J84" s="115">
        <f>E84/C84*100</f>
        <v>398.24808100116485</v>
      </c>
      <c r="K84" s="115">
        <f>E84/D84*100</f>
        <v>307.33433433433436</v>
      </c>
      <c r="L84" s="19"/>
      <c r="M84" s="19"/>
    </row>
    <row r="85" spans="1:13" ht="24" customHeight="1">
      <c r="A85" s="106" t="s">
        <v>71</v>
      </c>
      <c r="B85" s="109" t="s">
        <v>97</v>
      </c>
      <c r="C85" s="94"/>
      <c r="D85" s="96"/>
      <c r="E85" s="94">
        <f t="shared" si="9"/>
        <v>24048</v>
      </c>
      <c r="F85" s="94">
        <v>12180</v>
      </c>
      <c r="G85" s="94"/>
      <c r="H85" s="94">
        <v>11868</v>
      </c>
      <c r="I85" s="94"/>
      <c r="J85" s="89"/>
      <c r="K85" s="89"/>
      <c r="L85" s="19"/>
      <c r="M85" s="19"/>
    </row>
    <row r="86" spans="1:13" ht="24" customHeight="1">
      <c r="A86" s="106" t="s">
        <v>98</v>
      </c>
      <c r="B86" s="109" t="s">
        <v>99</v>
      </c>
      <c r="C86" s="94"/>
      <c r="D86" s="96"/>
      <c r="E86" s="96">
        <f t="shared" si="9"/>
        <v>5249083</v>
      </c>
      <c r="F86" s="94"/>
      <c r="G86" s="94">
        <v>3084586</v>
      </c>
      <c r="H86" s="94">
        <v>1740176</v>
      </c>
      <c r="I86" s="94">
        <v>424321</v>
      </c>
      <c r="J86" s="89"/>
      <c r="K86" s="89"/>
      <c r="L86" s="19"/>
      <c r="M86" s="19"/>
    </row>
    <row r="87" spans="1:13" ht="24" customHeight="1">
      <c r="A87" s="113" t="s">
        <v>100</v>
      </c>
      <c r="B87" s="114" t="s">
        <v>101</v>
      </c>
      <c r="C87" s="94"/>
      <c r="D87" s="96">
        <v>1454605</v>
      </c>
      <c r="E87" s="96">
        <f t="shared" si="9"/>
        <v>547535</v>
      </c>
      <c r="F87" s="94"/>
      <c r="G87" s="94">
        <v>261460</v>
      </c>
      <c r="H87" s="94">
        <v>86941</v>
      </c>
      <c r="I87" s="94">
        <v>199134</v>
      </c>
      <c r="J87" s="89"/>
      <c r="K87" s="89">
        <f t="shared" ref="K87" si="15">E87/D87*100</f>
        <v>37.641490301490784</v>
      </c>
    </row>
    <row r="88" spans="1:13" ht="24" customHeight="1">
      <c r="A88" s="329" t="s">
        <v>141</v>
      </c>
      <c r="B88" s="336" t="s">
        <v>436</v>
      </c>
      <c r="C88" s="330"/>
      <c r="D88" s="330">
        <v>30000</v>
      </c>
      <c r="E88" s="330">
        <f t="shared" si="9"/>
        <v>0</v>
      </c>
      <c r="F88" s="330"/>
      <c r="G88" s="330"/>
      <c r="H88" s="330"/>
      <c r="I88" s="330"/>
      <c r="J88" s="134"/>
      <c r="K88" s="134">
        <v>0</v>
      </c>
    </row>
    <row r="89" spans="1:13" ht="19.5" customHeight="1">
      <c r="A89" s="14"/>
      <c r="B89" s="15"/>
      <c r="C89" s="70"/>
      <c r="D89" s="70"/>
      <c r="E89" s="71"/>
      <c r="F89" s="70"/>
      <c r="G89" s="70"/>
      <c r="H89" s="70"/>
      <c r="I89" s="70"/>
      <c r="J89" s="61"/>
      <c r="K89" s="61"/>
    </row>
    <row r="90" spans="1:13" ht="16.5">
      <c r="A90" s="399"/>
      <c r="B90" s="399"/>
      <c r="C90" s="399"/>
      <c r="D90" s="399"/>
      <c r="E90" s="399"/>
      <c r="F90" s="399"/>
      <c r="G90" s="399"/>
      <c r="H90" s="399"/>
      <c r="I90" s="399"/>
      <c r="J90" s="399"/>
    </row>
    <row r="91" spans="1:13" ht="16.5">
      <c r="A91" s="744"/>
      <c r="B91" s="744"/>
      <c r="C91" s="744"/>
      <c r="D91" s="744"/>
      <c r="E91" s="744"/>
      <c r="F91" s="744"/>
      <c r="G91" s="744"/>
      <c r="H91" s="744"/>
      <c r="I91" s="744"/>
      <c r="J91" s="744"/>
    </row>
  </sheetData>
  <mergeCells count="10">
    <mergeCell ref="A91:J91"/>
    <mergeCell ref="A10:B10"/>
    <mergeCell ref="J5:K5"/>
    <mergeCell ref="A3:K3"/>
    <mergeCell ref="A1:B1"/>
    <mergeCell ref="C6:D6"/>
    <mergeCell ref="J6:K6"/>
    <mergeCell ref="A4:K4"/>
    <mergeCell ref="H2:K2"/>
    <mergeCell ref="H1:K1"/>
  </mergeCells>
  <pageMargins left="0.5" right="0.22" top="0.45" bottom="0.43" header="0.23622047244094499" footer="0.15748031496063"/>
  <pageSetup paperSize="9" scale="80" orientation="landscape" horizontalDpi="4294967295" verticalDpi="4294967295" r:id="rId1"/>
  <headerFooter differentFirst="1" alignWithMargins="0">
    <oddHeader xml:space="preserve">&amp;C                                                                                                                                  </oddHeader>
    <oddFooter>&amp;R&amp;P</oddFooter>
  </headerFooter>
  <ignoredErrors>
    <ignoredError sqref="A13 C9:K9 C13:K13 E18:K18 E14:E17 C27:D27 E19 C70:K70 C62:D62 J48 A57 A70:A72 J14:K17 J19:K19 C34:D34 E28:E33 I28:K33 J35:K38 I39:K39 J40:K41 J43:K47 J65:K65 J64 E35:E61 J49:K58 E63:E68 G66:K68 C72 C85:D85 E83:F83 J86 C86:C88 J87:J88 E72 C77:K77 D76:E76 F88 E86:F86 C80:K82 D78:F79 C71:D71 J71:J72 J83:K84 A20 F27:K27 F34:K34 A74:A88 H78:K79 D74:E75 J74:K75 H76:K76 A62:A68 J60:K63" numberStoredAsText="1"/>
    <ignoredError sqref="H1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topLeftCell="A2" zoomScale="70" zoomScaleNormal="70" workbookViewId="0">
      <selection activeCell="K11" sqref="K11:L37"/>
    </sheetView>
  </sheetViews>
  <sheetFormatPr defaultRowHeight="15.75"/>
  <cols>
    <col min="1" max="1" width="6.625" style="18" customWidth="1"/>
    <col min="2" max="2" width="58.125" style="18" customWidth="1"/>
    <col min="3" max="3" width="14" style="18" customWidth="1"/>
    <col min="4" max="4" width="15.5" style="18" bestFit="1" customWidth="1"/>
    <col min="5" max="5" width="13.875" style="18" customWidth="1"/>
    <col min="6" max="6" width="14.125" style="18" customWidth="1"/>
    <col min="7" max="7" width="14.25" style="18" customWidth="1"/>
    <col min="8" max="8" width="13.375" style="18" customWidth="1"/>
    <col min="9" max="9" width="8.875" style="18" customWidth="1"/>
    <col min="10" max="10" width="9.625" style="18" customWidth="1"/>
    <col min="11" max="11" width="9.75" style="18" bestFit="1" customWidth="1"/>
    <col min="12" max="12" width="15.125" style="19" bestFit="1" customWidth="1"/>
    <col min="13" max="15" width="13.875" style="19" bestFit="1" customWidth="1"/>
    <col min="16" max="16384" width="9" style="18"/>
  </cols>
  <sheetData>
    <row r="1" spans="1:15" ht="21" customHeight="1">
      <c r="A1" s="17" t="str">
        <f>'61'!A1:B1</f>
        <v>HỘI NHÂN DÂN TỈNH BÌNH PHƯỚC</v>
      </c>
      <c r="B1" s="17"/>
      <c r="C1" s="17"/>
      <c r="D1" s="17"/>
      <c r="E1" s="17"/>
      <c r="F1" s="17"/>
      <c r="G1" s="733" t="s">
        <v>122</v>
      </c>
      <c r="H1" s="733"/>
      <c r="I1" s="733"/>
      <c r="J1" s="733"/>
    </row>
    <row r="2" spans="1:15" ht="40.5" customHeight="1">
      <c r="A2" s="20"/>
      <c r="G2" s="732" t="s">
        <v>339</v>
      </c>
      <c r="H2" s="732"/>
      <c r="I2" s="732"/>
      <c r="J2" s="732"/>
    </row>
    <row r="3" spans="1:15" ht="18.75" customHeight="1">
      <c r="A3" s="734" t="s">
        <v>508</v>
      </c>
      <c r="B3" s="734"/>
      <c r="C3" s="734"/>
      <c r="D3" s="734"/>
      <c r="E3" s="734"/>
      <c r="F3" s="734"/>
      <c r="G3" s="734"/>
      <c r="H3" s="734"/>
      <c r="I3" s="734"/>
      <c r="J3" s="734"/>
    </row>
    <row r="4" spans="1:15" ht="24" customHeight="1">
      <c r="A4" s="751" t="str">
        <f>'61'!A4:K4</f>
        <v>(Kèm theo Nghị quyết số:         /NQ-HĐND ngày      tháng  12  năm 2023 của Hội đồng nhân dân tỉnh)</v>
      </c>
      <c r="B4" s="751"/>
      <c r="C4" s="751"/>
      <c r="D4" s="751"/>
      <c r="E4" s="751"/>
      <c r="F4" s="751"/>
      <c r="G4" s="751"/>
      <c r="H4" s="751"/>
      <c r="I4" s="751"/>
      <c r="J4" s="751"/>
    </row>
    <row r="5" spans="1:15" ht="24" customHeight="1">
      <c r="A5" s="371"/>
      <c r="B5" s="371"/>
      <c r="C5" s="371"/>
      <c r="D5" s="371"/>
      <c r="E5" s="371"/>
      <c r="F5" s="443"/>
      <c r="G5" s="443"/>
      <c r="H5" s="443"/>
      <c r="I5" s="371"/>
      <c r="J5" s="371"/>
    </row>
    <row r="6" spans="1:15" ht="21.75" customHeight="1">
      <c r="F6" s="21"/>
      <c r="G6" s="21"/>
      <c r="H6" s="752" t="s">
        <v>165</v>
      </c>
      <c r="I6" s="752"/>
      <c r="J6" s="752"/>
    </row>
    <row r="7" spans="1:15" ht="36" customHeight="1">
      <c r="A7" s="737" t="s">
        <v>18</v>
      </c>
      <c r="B7" s="737" t="s">
        <v>186</v>
      </c>
      <c r="C7" s="740" t="s">
        <v>150</v>
      </c>
      <c r="D7" s="741"/>
      <c r="E7" s="740" t="s">
        <v>151</v>
      </c>
      <c r="F7" s="742"/>
      <c r="G7" s="742"/>
      <c r="H7" s="741"/>
      <c r="I7" s="743" t="s">
        <v>187</v>
      </c>
      <c r="J7" s="741"/>
    </row>
    <row r="8" spans="1:15" ht="26.25" customHeight="1">
      <c r="A8" s="738"/>
      <c r="B8" s="738"/>
      <c r="C8" s="74" t="s">
        <v>19</v>
      </c>
      <c r="D8" s="75" t="s">
        <v>147</v>
      </c>
      <c r="E8" s="75" t="s">
        <v>144</v>
      </c>
      <c r="F8" s="75" t="s">
        <v>4</v>
      </c>
      <c r="G8" s="75" t="s">
        <v>4</v>
      </c>
      <c r="H8" s="75" t="s">
        <v>4</v>
      </c>
      <c r="I8" s="74" t="s">
        <v>19</v>
      </c>
      <c r="J8" s="75" t="s">
        <v>147</v>
      </c>
    </row>
    <row r="9" spans="1:15" ht="21.75" customHeight="1">
      <c r="A9" s="739"/>
      <c r="B9" s="739"/>
      <c r="C9" s="76" t="s">
        <v>21</v>
      </c>
      <c r="D9" s="76" t="s">
        <v>146</v>
      </c>
      <c r="E9" s="76" t="s">
        <v>148</v>
      </c>
      <c r="F9" s="76" t="s">
        <v>145</v>
      </c>
      <c r="G9" s="76" t="s">
        <v>142</v>
      </c>
      <c r="H9" s="76" t="s">
        <v>149</v>
      </c>
      <c r="I9" s="76" t="s">
        <v>21</v>
      </c>
      <c r="J9" s="76" t="s">
        <v>146</v>
      </c>
    </row>
    <row r="10" spans="1:15" s="22" customFormat="1" ht="16.5" customHeight="1">
      <c r="A10" s="80" t="s">
        <v>1</v>
      </c>
      <c r="B10" s="80" t="s">
        <v>2</v>
      </c>
      <c r="C10" s="81" t="s">
        <v>23</v>
      </c>
      <c r="D10" s="81" t="s">
        <v>24</v>
      </c>
      <c r="E10" s="81" t="s">
        <v>102</v>
      </c>
      <c r="F10" s="82" t="s">
        <v>26</v>
      </c>
      <c r="G10" s="81" t="s">
        <v>27</v>
      </c>
      <c r="H10" s="81" t="s">
        <v>28</v>
      </c>
      <c r="I10" s="81" t="s">
        <v>103</v>
      </c>
      <c r="J10" s="81" t="s">
        <v>104</v>
      </c>
      <c r="L10" s="346"/>
      <c r="M10" s="346"/>
      <c r="N10" s="346"/>
      <c r="O10" s="346"/>
    </row>
    <row r="11" spans="1:15" ht="21.75" customHeight="1">
      <c r="A11" s="23" t="s">
        <v>1</v>
      </c>
      <c r="B11" s="24" t="s">
        <v>185</v>
      </c>
      <c r="C11" s="25">
        <f>C12+C15+C19+SUM(C32:C37)</f>
        <v>14488165</v>
      </c>
      <c r="D11" s="25">
        <f>D12+D15+D19+SUM(D32:D39)</f>
        <v>18488000</v>
      </c>
      <c r="E11" s="25">
        <f>E12+E15+E19+SUM(E32:E39)</f>
        <v>22757859.800000001</v>
      </c>
      <c r="F11" s="25">
        <f>F12+F15+F19+SUM(F32:F39)</f>
        <v>9703907.8000000007</v>
      </c>
      <c r="G11" s="25">
        <f>G12+G15+G19+SUM(G32:G39)</f>
        <v>10712413.4</v>
      </c>
      <c r="H11" s="25">
        <f>H12+H15+H19+SUM(H32:H39)</f>
        <v>2341538.6</v>
      </c>
      <c r="I11" s="25">
        <f>E11/C11*100</f>
        <v>157.07896617687609</v>
      </c>
      <c r="J11" s="481">
        <f>E11/D11*100</f>
        <v>123.09530398096062</v>
      </c>
    </row>
    <row r="12" spans="1:15" ht="21.75" customHeight="1">
      <c r="A12" s="28" t="s">
        <v>86</v>
      </c>
      <c r="B12" s="13" t="s">
        <v>152</v>
      </c>
      <c r="C12" s="29">
        <f t="shared" ref="C12:H12" si="0">C13+SUM(C14:C14)</f>
        <v>6060140</v>
      </c>
      <c r="D12" s="29">
        <f t="shared" si="0"/>
        <v>7481382</v>
      </c>
      <c r="E12" s="29">
        <f t="shared" si="0"/>
        <v>6450021</v>
      </c>
      <c r="F12" s="29">
        <f t="shared" si="0"/>
        <v>2990580</v>
      </c>
      <c r="G12" s="29">
        <f t="shared" si="0"/>
        <v>2533943</v>
      </c>
      <c r="H12" s="29">
        <f t="shared" si="0"/>
        <v>925498</v>
      </c>
      <c r="I12" s="34">
        <f>E12/C12*100</f>
        <v>106.43353123855223</v>
      </c>
      <c r="J12" s="482">
        <f>E12/D12*100</f>
        <v>86.214298374284326</v>
      </c>
    </row>
    <row r="13" spans="1:15" ht="21.75" customHeight="1">
      <c r="A13" s="35">
        <v>1</v>
      </c>
      <c r="B13" s="36" t="s">
        <v>105</v>
      </c>
      <c r="C13" s="32">
        <f>'62 (2)'!C14</f>
        <v>6060140</v>
      </c>
      <c r="D13" s="32">
        <f>'62 (2)'!D14</f>
        <v>7481382</v>
      </c>
      <c r="E13" s="32">
        <f>SUM(F13:H13)</f>
        <v>6440021</v>
      </c>
      <c r="F13" s="30">
        <f>'62 (2)'!F14</f>
        <v>2980580</v>
      </c>
      <c r="G13" s="30">
        <f>'62 (2)'!G14</f>
        <v>2533943</v>
      </c>
      <c r="H13" s="30">
        <f>'62 (2)'!H14</f>
        <v>925498</v>
      </c>
      <c r="I13" s="30">
        <f>E13/C13*100</f>
        <v>106.26851854907642</v>
      </c>
      <c r="J13" s="31">
        <f>E13/D13*100</f>
        <v>86.080633230598309</v>
      </c>
    </row>
    <row r="14" spans="1:15" ht="21.75" customHeight="1">
      <c r="A14" s="11">
        <v>2</v>
      </c>
      <c r="B14" s="12" t="s">
        <v>110</v>
      </c>
      <c r="C14" s="30"/>
      <c r="D14" s="30"/>
      <c r="E14" s="30">
        <f>'62 (2)'!E15</f>
        <v>10000</v>
      </c>
      <c r="F14" s="30">
        <f>'62 (2)'!F15</f>
        <v>10000</v>
      </c>
      <c r="G14" s="30"/>
      <c r="H14" s="30"/>
      <c r="I14" s="30"/>
      <c r="J14" s="33"/>
    </row>
    <row r="15" spans="1:15" ht="21.75" customHeight="1">
      <c r="A15" s="28" t="s">
        <v>71</v>
      </c>
      <c r="B15" s="13" t="s">
        <v>535</v>
      </c>
      <c r="C15" s="30">
        <f>+'62 (2)'!C16</f>
        <v>0</v>
      </c>
      <c r="D15" s="30">
        <f>'62 (2)'!D16</f>
        <v>0</v>
      </c>
      <c r="E15" s="34">
        <f>SUM(F15:H15)</f>
        <v>10657</v>
      </c>
      <c r="F15" s="34">
        <f>'62 (2)'!F16</f>
        <v>10657</v>
      </c>
      <c r="G15" s="30"/>
      <c r="H15" s="30"/>
      <c r="I15" s="30"/>
      <c r="J15" s="33"/>
    </row>
    <row r="16" spans="1:15" ht="21.75" customHeight="1">
      <c r="A16" s="35"/>
      <c r="B16" s="36" t="s">
        <v>246</v>
      </c>
      <c r="C16" s="30"/>
      <c r="D16" s="30"/>
      <c r="E16" s="34"/>
      <c r="F16" s="34"/>
      <c r="G16" s="30"/>
      <c r="H16" s="30"/>
      <c r="I16" s="30"/>
      <c r="J16" s="33"/>
    </row>
    <row r="17" spans="1:15" ht="21.75" customHeight="1">
      <c r="A17" s="35"/>
      <c r="B17" s="36" t="s">
        <v>532</v>
      </c>
      <c r="C17" s="30"/>
      <c r="D17" s="30"/>
      <c r="E17" s="30">
        <f t="shared" ref="E17:E18" si="1">SUM(F17:H17)</f>
        <v>8161</v>
      </c>
      <c r="F17" s="30">
        <f>+'62 (2)'!F18</f>
        <v>8161</v>
      </c>
      <c r="G17" s="30"/>
      <c r="H17" s="30"/>
      <c r="I17" s="30"/>
      <c r="J17" s="33"/>
    </row>
    <row r="18" spans="1:15" ht="21.75" customHeight="1">
      <c r="A18" s="35"/>
      <c r="B18" s="36" t="s">
        <v>533</v>
      </c>
      <c r="C18" s="30"/>
      <c r="D18" s="30"/>
      <c r="E18" s="30">
        <f t="shared" si="1"/>
        <v>2496</v>
      </c>
      <c r="F18" s="30">
        <f>+'62 (2)'!F19</f>
        <v>2496</v>
      </c>
      <c r="G18" s="30"/>
      <c r="H18" s="30"/>
      <c r="I18" s="30"/>
      <c r="J18" s="33"/>
    </row>
    <row r="19" spans="1:15" ht="21.75" customHeight="1">
      <c r="A19" s="28" t="s">
        <v>73</v>
      </c>
      <c r="B19" s="13" t="s">
        <v>154</v>
      </c>
      <c r="C19" s="34">
        <f>'62 (2)'!C20</f>
        <v>6990109</v>
      </c>
      <c r="D19" s="34">
        <f>SUM(D20:D31)</f>
        <v>8802907</v>
      </c>
      <c r="E19" s="34">
        <f>SUM(E20:E31)</f>
        <v>7245688.2000000011</v>
      </c>
      <c r="F19" s="34">
        <f>SUM(F20:F31)</f>
        <v>1725520.7999999998</v>
      </c>
      <c r="G19" s="34">
        <f>SUM(G20:G31)</f>
        <v>4546496.4000000004</v>
      </c>
      <c r="H19" s="34">
        <f>SUM(H20:H31)</f>
        <v>973671</v>
      </c>
      <c r="I19" s="34">
        <f>E19/C19*100</f>
        <v>103.65629777733081</v>
      </c>
      <c r="J19" s="34">
        <f>E19/D19*100</f>
        <v>82.310175490891822</v>
      </c>
      <c r="K19" s="506"/>
      <c r="L19" s="506"/>
      <c r="M19" s="506"/>
    </row>
    <row r="20" spans="1:15" ht="21.75" customHeight="1">
      <c r="A20" s="11">
        <v>1</v>
      </c>
      <c r="B20" s="12" t="s">
        <v>106</v>
      </c>
      <c r="C20" s="30"/>
      <c r="D20" s="30">
        <f>'62 (2)'!D21</f>
        <v>290518</v>
      </c>
      <c r="E20" s="30">
        <f>SUM(F20:H20)</f>
        <v>388648</v>
      </c>
      <c r="F20" s="30">
        <f>'62 (2)'!F21</f>
        <v>131835</v>
      </c>
      <c r="G20" s="30">
        <f>'62 (2)'!G21</f>
        <v>117042</v>
      </c>
      <c r="H20" s="30">
        <f>'62 (2)'!H21</f>
        <v>139771</v>
      </c>
      <c r="I20" s="30"/>
      <c r="J20" s="30">
        <f t="shared" ref="J20:J36" si="2">E20/D20*100</f>
        <v>133.77759725731281</v>
      </c>
      <c r="K20" s="510"/>
    </row>
    <row r="21" spans="1:15" ht="21.75" customHeight="1">
      <c r="A21" s="11">
        <v>2</v>
      </c>
      <c r="B21" s="12" t="s">
        <v>107</v>
      </c>
      <c r="C21" s="30"/>
      <c r="D21" s="30">
        <f>'62 (2)'!D22</f>
        <v>127223</v>
      </c>
      <c r="E21" s="30">
        <f t="shared" ref="E21:E32" si="3">SUM(F21:H21)</f>
        <v>136644</v>
      </c>
      <c r="F21" s="30">
        <f>'62 (2)'!F22</f>
        <v>64834</v>
      </c>
      <c r="G21" s="30">
        <f>'62 (2)'!G22</f>
        <v>25918</v>
      </c>
      <c r="H21" s="30">
        <f>'62 (2)'!H22</f>
        <v>45892</v>
      </c>
      <c r="I21" s="30"/>
      <c r="J21" s="30">
        <f t="shared" si="2"/>
        <v>107.40510756702797</v>
      </c>
    </row>
    <row r="22" spans="1:15" ht="21.75" customHeight="1">
      <c r="A22" s="11">
        <v>3</v>
      </c>
      <c r="B22" s="12" t="s">
        <v>129</v>
      </c>
      <c r="C22" s="30"/>
      <c r="D22" s="30">
        <f>'62 (2)'!D23</f>
        <v>3166882</v>
      </c>
      <c r="E22" s="30">
        <f t="shared" si="3"/>
        <v>2752525.6</v>
      </c>
      <c r="F22" s="30">
        <f>'62 (2)'!F23</f>
        <v>501761</v>
      </c>
      <c r="G22" s="30">
        <f>'62 (2)'!G23</f>
        <v>2248121.6</v>
      </c>
      <c r="H22" s="30">
        <f>'62 (2)'!H23</f>
        <v>2643</v>
      </c>
      <c r="I22" s="30"/>
      <c r="J22" s="30">
        <f t="shared" si="2"/>
        <v>86.915950767979353</v>
      </c>
    </row>
    <row r="23" spans="1:15" ht="21.75" customHeight="1">
      <c r="A23" s="11">
        <v>4</v>
      </c>
      <c r="B23" s="12" t="s">
        <v>188</v>
      </c>
      <c r="C23" s="30"/>
      <c r="D23" s="30">
        <f>'62 (2)'!D24</f>
        <v>24378</v>
      </c>
      <c r="E23" s="30">
        <f t="shared" si="3"/>
        <v>11187.6</v>
      </c>
      <c r="F23" s="30">
        <f>'62 (2)'!F24</f>
        <v>11181</v>
      </c>
      <c r="G23" s="30">
        <f>'62 (2)'!G24</f>
        <v>6.6</v>
      </c>
      <c r="H23" s="30">
        <f>'62 (2)'!H24</f>
        <v>0</v>
      </c>
      <c r="I23" s="30"/>
      <c r="J23" s="30">
        <f t="shared" si="2"/>
        <v>45.892197883337438</v>
      </c>
    </row>
    <row r="24" spans="1:15" ht="21.75" customHeight="1">
      <c r="A24" s="11">
        <v>5</v>
      </c>
      <c r="B24" s="12" t="s">
        <v>127</v>
      </c>
      <c r="C24" s="30"/>
      <c r="D24" s="30">
        <f>'62 (2)'!D25</f>
        <v>583557</v>
      </c>
      <c r="E24" s="30">
        <f t="shared" si="3"/>
        <v>596344</v>
      </c>
      <c r="F24" s="30">
        <f>'62 (2)'!F25</f>
        <v>107993</v>
      </c>
      <c r="G24" s="30">
        <f>'62 (2)'!G25</f>
        <v>488123</v>
      </c>
      <c r="H24" s="30">
        <f>'62 (2)'!H25</f>
        <v>228</v>
      </c>
      <c r="I24" s="30"/>
      <c r="J24" s="30">
        <f t="shared" si="2"/>
        <v>102.19121696766553</v>
      </c>
    </row>
    <row r="25" spans="1:15" ht="21.75" customHeight="1">
      <c r="A25" s="11">
        <v>6</v>
      </c>
      <c r="B25" s="12" t="s">
        <v>192</v>
      </c>
      <c r="C25" s="30"/>
      <c r="D25" s="30">
        <f>'62 (2)'!D26</f>
        <v>158387</v>
      </c>
      <c r="E25" s="30">
        <f t="shared" si="3"/>
        <v>157143.6</v>
      </c>
      <c r="F25" s="30">
        <f>'62 (2)'!F26</f>
        <v>102536</v>
      </c>
      <c r="G25" s="30">
        <f>'62 (2)'!G26</f>
        <v>46155.6</v>
      </c>
      <c r="H25" s="30">
        <f>'62 (2)'!H26</f>
        <v>8452</v>
      </c>
      <c r="I25" s="30"/>
      <c r="J25" s="30">
        <f t="shared" si="2"/>
        <v>99.214960823804986</v>
      </c>
    </row>
    <row r="26" spans="1:15" ht="21.75" customHeight="1">
      <c r="A26" s="11">
        <v>7</v>
      </c>
      <c r="B26" s="12" t="s">
        <v>128</v>
      </c>
      <c r="C26" s="30"/>
      <c r="D26" s="30">
        <f>'62 (2)'!D27</f>
        <v>130797</v>
      </c>
      <c r="E26" s="30">
        <f t="shared" si="3"/>
        <v>91448</v>
      </c>
      <c r="F26" s="30">
        <f>'62 (2)'!F27</f>
        <v>79202</v>
      </c>
      <c r="G26" s="30">
        <f>'62 (2)'!G27</f>
        <v>11592</v>
      </c>
      <c r="H26" s="30">
        <f>'62 (2)'!H27</f>
        <v>654</v>
      </c>
      <c r="I26" s="30"/>
      <c r="J26" s="30">
        <f t="shared" si="2"/>
        <v>69.915976666131485</v>
      </c>
    </row>
    <row r="27" spans="1:15" ht="21.75" customHeight="1">
      <c r="A27" s="11">
        <v>8</v>
      </c>
      <c r="B27" s="12" t="s">
        <v>520</v>
      </c>
      <c r="C27" s="30"/>
      <c r="D27" s="30">
        <f>'62 (2)'!D28</f>
        <v>88722</v>
      </c>
      <c r="E27" s="30">
        <f t="shared" ref="E27" si="4">SUM(F27:H27)</f>
        <v>68103</v>
      </c>
      <c r="F27" s="30">
        <f>'62 (2)'!F28</f>
        <v>22510</v>
      </c>
      <c r="G27" s="30">
        <f>'62 (2)'!G28</f>
        <v>44614</v>
      </c>
      <c r="H27" s="30">
        <f>'62 (2)'!H28</f>
        <v>979</v>
      </c>
      <c r="I27" s="30"/>
      <c r="J27" s="30">
        <f t="shared" ref="J27" si="5">E27/D27*100</f>
        <v>76.75999188476365</v>
      </c>
    </row>
    <row r="28" spans="1:15" ht="21.75" customHeight="1">
      <c r="A28" s="11">
        <v>9</v>
      </c>
      <c r="B28" s="12" t="s">
        <v>108</v>
      </c>
      <c r="C28" s="30"/>
      <c r="D28" s="30">
        <f>'62 (2)'!D29</f>
        <v>2515194</v>
      </c>
      <c r="E28" s="30">
        <f t="shared" si="3"/>
        <v>974944</v>
      </c>
      <c r="F28" s="30">
        <f>'62 (2)'!F29</f>
        <v>249859</v>
      </c>
      <c r="G28" s="30">
        <f>'62 (2)'!G29</f>
        <v>661533</v>
      </c>
      <c r="H28" s="30">
        <f>'62 (2)'!H29</f>
        <v>63552</v>
      </c>
      <c r="I28" s="30"/>
      <c r="J28" s="30">
        <f t="shared" si="2"/>
        <v>38.762178981024924</v>
      </c>
    </row>
    <row r="29" spans="1:15" ht="21.75" customHeight="1">
      <c r="A29" s="11">
        <v>10</v>
      </c>
      <c r="B29" s="12" t="s">
        <v>109</v>
      </c>
      <c r="C29" s="30"/>
      <c r="D29" s="30">
        <f>'62 (2)'!D30</f>
        <v>1257126</v>
      </c>
      <c r="E29" s="30">
        <f t="shared" si="3"/>
        <v>1610894.4</v>
      </c>
      <c r="F29" s="30">
        <f>'62 (2)'!F30</f>
        <v>370808.4</v>
      </c>
      <c r="G29" s="30">
        <f>'62 (2)'!G30</f>
        <v>540492</v>
      </c>
      <c r="H29" s="30">
        <f>'62 (2)'!H30</f>
        <v>699594</v>
      </c>
      <c r="I29" s="30"/>
      <c r="J29" s="30">
        <f t="shared" si="2"/>
        <v>128.14104552765593</v>
      </c>
    </row>
    <row r="30" spans="1:15" ht="21.75" customHeight="1">
      <c r="A30" s="11">
        <v>11</v>
      </c>
      <c r="B30" s="12" t="s">
        <v>126</v>
      </c>
      <c r="C30" s="30"/>
      <c r="D30" s="30">
        <f>'62 (2)'!D31</f>
        <v>378529</v>
      </c>
      <c r="E30" s="30">
        <f t="shared" si="3"/>
        <v>403685</v>
      </c>
      <c r="F30" s="30">
        <f>'62 (2)'!F31</f>
        <v>79346</v>
      </c>
      <c r="G30" s="30">
        <f>'62 (2)'!G31</f>
        <v>314084</v>
      </c>
      <c r="H30" s="30">
        <f>'62 (2)'!H31</f>
        <v>10255</v>
      </c>
      <c r="I30" s="30"/>
      <c r="J30" s="30">
        <f t="shared" si="2"/>
        <v>106.64572595494666</v>
      </c>
    </row>
    <row r="31" spans="1:15" ht="21.75" customHeight="1">
      <c r="A31" s="11">
        <v>12</v>
      </c>
      <c r="B31" s="12" t="s">
        <v>119</v>
      </c>
      <c r="C31" s="30"/>
      <c r="D31" s="30">
        <f>'62 (2)'!D32</f>
        <v>81594</v>
      </c>
      <c r="E31" s="30">
        <f t="shared" si="3"/>
        <v>54121</v>
      </c>
      <c r="F31" s="30">
        <f>'62 (2)'!F32</f>
        <v>3655.4</v>
      </c>
      <c r="G31" s="30">
        <f>'62 (2)'!G32</f>
        <v>48814.6</v>
      </c>
      <c r="H31" s="30">
        <f>'62 (2)'!H32</f>
        <v>1651</v>
      </c>
      <c r="I31" s="30"/>
      <c r="J31" s="30">
        <f t="shared" si="2"/>
        <v>66.329632080790262</v>
      </c>
    </row>
    <row r="32" spans="1:15" s="17" customFormat="1" ht="21.75" customHeight="1">
      <c r="A32" s="28" t="s">
        <v>79</v>
      </c>
      <c r="B32" s="13" t="s">
        <v>156</v>
      </c>
      <c r="C32" s="34">
        <f>'62 (2)'!C33</f>
        <v>1000</v>
      </c>
      <c r="D32" s="34">
        <f>'62 (2)'!D33</f>
        <v>1000</v>
      </c>
      <c r="E32" s="34">
        <f t="shared" si="3"/>
        <v>0</v>
      </c>
      <c r="F32" s="34">
        <f>'62 (2)'!F33</f>
        <v>0</v>
      </c>
      <c r="G32" s="34">
        <f>'62 (2)'!G33</f>
        <v>0</v>
      </c>
      <c r="H32" s="34">
        <f>'62 (2)'!H33</f>
        <v>0</v>
      </c>
      <c r="I32" s="34">
        <f>E32/C32*100</f>
        <v>0</v>
      </c>
      <c r="J32" s="34">
        <f t="shared" si="2"/>
        <v>0</v>
      </c>
      <c r="L32" s="434"/>
      <c r="M32" s="434"/>
      <c r="N32" s="434"/>
      <c r="O32" s="434"/>
    </row>
    <row r="33" spans="1:15" s="17" customFormat="1" ht="21.75" customHeight="1">
      <c r="A33" s="28" t="s">
        <v>80</v>
      </c>
      <c r="B33" s="13" t="s">
        <v>143</v>
      </c>
      <c r="C33" s="34">
        <f>'62 (2)'!C34</f>
        <v>0</v>
      </c>
      <c r="D33" s="34">
        <f>'62 (2)'!D34</f>
        <v>0</v>
      </c>
      <c r="E33" s="34">
        <f>SUM(F33:H33)</f>
        <v>9016720</v>
      </c>
      <c r="F33" s="34">
        <f>4963450-980</f>
        <v>4962470</v>
      </c>
      <c r="G33" s="34">
        <f>'62 (2)'!G34</f>
        <v>3631637</v>
      </c>
      <c r="H33" s="34">
        <f>'62 (2)'!H34</f>
        <v>422613</v>
      </c>
      <c r="I33" s="34"/>
      <c r="J33" s="34">
        <v>0</v>
      </c>
      <c r="K33" s="506"/>
      <c r="L33" s="434"/>
      <c r="M33" s="434"/>
      <c r="N33" s="434"/>
      <c r="O33" s="434"/>
    </row>
    <row r="34" spans="1:15" s="17" customFormat="1" ht="21.75" customHeight="1">
      <c r="A34" s="28" t="s">
        <v>81</v>
      </c>
      <c r="B34" s="13" t="s">
        <v>130</v>
      </c>
      <c r="C34" s="34">
        <f>'62 (2)'!C35</f>
        <v>265081</v>
      </c>
      <c r="D34" s="34">
        <f>'62 (2)'!D35</f>
        <v>589474</v>
      </c>
      <c r="E34" s="34">
        <f t="shared" ref="E34:E39" si="6">SUM(F34:H34)</f>
        <v>0</v>
      </c>
      <c r="F34" s="34">
        <f>'62 (2)'!F35</f>
        <v>0</v>
      </c>
      <c r="G34" s="34">
        <f>'62 (2)'!G35</f>
        <v>0</v>
      </c>
      <c r="H34" s="34">
        <f>'62 (2)'!H35</f>
        <v>0</v>
      </c>
      <c r="I34" s="34">
        <f>E34/C34*100</f>
        <v>0</v>
      </c>
      <c r="J34" s="34">
        <f t="shared" si="2"/>
        <v>0</v>
      </c>
      <c r="K34" s="509"/>
      <c r="L34" s="434"/>
      <c r="M34" s="434"/>
      <c r="N34" s="434"/>
      <c r="O34" s="434"/>
    </row>
    <row r="35" spans="1:15" s="17" customFormat="1" ht="21.75" customHeight="1">
      <c r="A35" s="28" t="s">
        <v>136</v>
      </c>
      <c r="B35" s="13" t="s">
        <v>132</v>
      </c>
      <c r="C35" s="34">
        <f>'62 (2)'!C36</f>
        <v>0</v>
      </c>
      <c r="D35" s="34">
        <f>'62 (2)'!D36</f>
        <v>1490785</v>
      </c>
      <c r="E35" s="34">
        <f t="shared" si="6"/>
        <v>0</v>
      </c>
      <c r="F35" s="34">
        <f>'62 (2)'!F36</f>
        <v>0</v>
      </c>
      <c r="G35" s="34">
        <f>'62 (2)'!G36</f>
        <v>0</v>
      </c>
      <c r="H35" s="34">
        <f>'62 (2)'!H36</f>
        <v>0</v>
      </c>
      <c r="I35" s="34"/>
      <c r="J35" s="34">
        <f t="shared" si="2"/>
        <v>0</v>
      </c>
      <c r="L35" s="434"/>
      <c r="M35" s="434"/>
      <c r="N35" s="434"/>
      <c r="O35" s="434"/>
    </row>
    <row r="36" spans="1:15" s="17" customFormat="1" ht="21.75" customHeight="1">
      <c r="A36" s="28" t="s">
        <v>137</v>
      </c>
      <c r="B36" s="13" t="s">
        <v>133</v>
      </c>
      <c r="C36" s="34">
        <f>'62 (2)'!C37</f>
        <v>0</v>
      </c>
      <c r="D36" s="34">
        <f>'62 (2)'!D37</f>
        <v>122452</v>
      </c>
      <c r="E36" s="34">
        <f t="shared" si="6"/>
        <v>0</v>
      </c>
      <c r="F36" s="34">
        <f>'62 (2)'!F37</f>
        <v>0</v>
      </c>
      <c r="G36" s="34">
        <f>'62 (2)'!G37</f>
        <v>0</v>
      </c>
      <c r="H36" s="34">
        <f>'62 (2)'!H37</f>
        <v>0</v>
      </c>
      <c r="I36" s="34"/>
      <c r="J36" s="34">
        <f t="shared" si="2"/>
        <v>0</v>
      </c>
      <c r="L36" s="434"/>
      <c r="M36" s="434"/>
      <c r="N36" s="434"/>
      <c r="O36" s="434"/>
    </row>
    <row r="37" spans="1:15" s="17" customFormat="1" ht="21.75" customHeight="1">
      <c r="A37" s="28" t="s">
        <v>138</v>
      </c>
      <c r="B37" s="13" t="s">
        <v>464</v>
      </c>
      <c r="C37" s="34">
        <f>'62 (2)'!C38</f>
        <v>1171835</v>
      </c>
      <c r="D37" s="34">
        <f>'62 (2)'!D38</f>
        <v>0</v>
      </c>
      <c r="E37" s="34">
        <f t="shared" si="6"/>
        <v>0</v>
      </c>
      <c r="F37" s="34">
        <f>'62 (2)'!F38</f>
        <v>0</v>
      </c>
      <c r="G37" s="34">
        <f>'62 (2)'!G38</f>
        <v>0</v>
      </c>
      <c r="H37" s="34">
        <f>'62 (2)'!H38</f>
        <v>0</v>
      </c>
      <c r="I37" s="34"/>
      <c r="J37" s="34">
        <v>0</v>
      </c>
      <c r="L37" s="434"/>
      <c r="M37" s="434"/>
      <c r="N37" s="434"/>
      <c r="O37" s="434"/>
    </row>
    <row r="38" spans="1:15" s="17" customFormat="1" ht="21.75" customHeight="1">
      <c r="A38" s="28" t="s">
        <v>139</v>
      </c>
      <c r="B38" s="79" t="s">
        <v>155</v>
      </c>
      <c r="C38" s="78">
        <f>+'62 (2)'!C39</f>
        <v>0</v>
      </c>
      <c r="D38" s="78"/>
      <c r="E38" s="34">
        <f>SUM(F38:H38)</f>
        <v>25547.599999999999</v>
      </c>
      <c r="F38" s="34">
        <f>'62 (2)'!F39</f>
        <v>13680</v>
      </c>
      <c r="G38" s="34">
        <f>'62 (2)'!G39</f>
        <v>0</v>
      </c>
      <c r="H38" s="34">
        <f>'62 (2)'!H39</f>
        <v>11867.6</v>
      </c>
      <c r="I38" s="34"/>
      <c r="J38" s="34"/>
      <c r="L38" s="434"/>
      <c r="M38" s="434"/>
      <c r="N38" s="434"/>
      <c r="O38" s="434"/>
    </row>
    <row r="39" spans="1:15" s="17" customFormat="1" ht="21.75" customHeight="1">
      <c r="A39" s="28" t="s">
        <v>140</v>
      </c>
      <c r="B39" s="13" t="s">
        <v>135</v>
      </c>
      <c r="C39" s="34">
        <f>'62 (2)'!C40</f>
        <v>0</v>
      </c>
      <c r="D39" s="34">
        <f>'62 (2)'!D40</f>
        <v>0</v>
      </c>
      <c r="E39" s="34">
        <f t="shared" si="6"/>
        <v>9226</v>
      </c>
      <c r="F39" s="34">
        <f>'62 (2)'!F40</f>
        <v>1000</v>
      </c>
      <c r="G39" s="34">
        <f>'62 (2)'!G40</f>
        <v>337</v>
      </c>
      <c r="H39" s="34">
        <f>'62 (2)'!H40</f>
        <v>7889</v>
      </c>
      <c r="I39" s="34"/>
      <c r="J39" s="34">
        <v>0</v>
      </c>
      <c r="L39" s="434"/>
      <c r="M39" s="434"/>
      <c r="N39" s="434"/>
      <c r="O39" s="434"/>
    </row>
    <row r="40" spans="1:15" s="17" customFormat="1" ht="21.75" customHeight="1">
      <c r="A40" s="28" t="s">
        <v>2</v>
      </c>
      <c r="B40" s="13" t="s">
        <v>153</v>
      </c>
      <c r="C40" s="78">
        <f t="shared" ref="C40:H40" si="7">SUM(C41:C42)</f>
        <v>3676580</v>
      </c>
      <c r="D40" s="78">
        <f t="shared" si="7"/>
        <v>4023225</v>
      </c>
      <c r="E40" s="78">
        <f t="shared" si="7"/>
        <v>6673655</v>
      </c>
      <c r="F40" s="78">
        <f t="shared" si="7"/>
        <v>5224503</v>
      </c>
      <c r="G40" s="78">
        <f>SUM(G41:G42)</f>
        <v>1449152</v>
      </c>
      <c r="H40" s="78">
        <f t="shared" si="7"/>
        <v>0</v>
      </c>
      <c r="I40" s="78"/>
      <c r="J40" s="13"/>
      <c r="L40" s="434"/>
      <c r="M40" s="434"/>
      <c r="N40" s="434"/>
      <c r="O40" s="434"/>
    </row>
    <row r="41" spans="1:15" ht="21.75" customHeight="1">
      <c r="A41" s="35">
        <v>1</v>
      </c>
      <c r="B41" s="36" t="s">
        <v>94</v>
      </c>
      <c r="C41" s="77">
        <f>'61'!C83</f>
        <v>2504745</v>
      </c>
      <c r="D41" s="77">
        <f>'61'!D83</f>
        <v>2504745</v>
      </c>
      <c r="E41" s="77">
        <f>SUM(F41:H41)</f>
        <v>3591770</v>
      </c>
      <c r="F41" s="77">
        <v>3082130</v>
      </c>
      <c r="G41" s="77">
        <v>509640</v>
      </c>
      <c r="H41" s="77"/>
      <c r="I41" s="77"/>
      <c r="J41" s="36"/>
    </row>
    <row r="42" spans="1:15" ht="21.75" customHeight="1">
      <c r="A42" s="35">
        <v>2</v>
      </c>
      <c r="B42" s="36" t="s">
        <v>96</v>
      </c>
      <c r="C42" s="77">
        <f>'61'!C84</f>
        <v>1171835</v>
      </c>
      <c r="D42" s="77">
        <f>'61'!D84</f>
        <v>1518480</v>
      </c>
      <c r="E42" s="77">
        <f>SUM(F42:H42)</f>
        <v>3081885</v>
      </c>
      <c r="F42" s="77">
        <v>2142373</v>
      </c>
      <c r="G42" s="77">
        <v>939512</v>
      </c>
      <c r="H42" s="77">
        <v>0</v>
      </c>
      <c r="I42" s="77"/>
      <c r="J42" s="36"/>
    </row>
    <row r="43" spans="1:15" s="84" customFormat="1" ht="27" customHeight="1">
      <c r="A43" s="750" t="s">
        <v>338</v>
      </c>
      <c r="B43" s="750"/>
      <c r="C43" s="287">
        <f>C11+C40+C38</f>
        <v>18164745</v>
      </c>
      <c r="D43" s="287">
        <f>D11+D40+D38</f>
        <v>22511225</v>
      </c>
      <c r="E43" s="287">
        <f>E11+E40</f>
        <v>29431514.800000001</v>
      </c>
      <c r="F43" s="287">
        <f>F11+F40</f>
        <v>14928410.800000001</v>
      </c>
      <c r="G43" s="287">
        <f>G11+G40</f>
        <v>12161565.4</v>
      </c>
      <c r="H43" s="287">
        <f>H11+H40</f>
        <v>2341538.6</v>
      </c>
      <c r="I43" s="288"/>
      <c r="J43" s="289"/>
      <c r="L43" s="347"/>
      <c r="M43" s="347"/>
      <c r="N43" s="347"/>
      <c r="O43" s="347"/>
    </row>
    <row r="44" spans="1:15" s="21" customFormat="1" ht="18.75">
      <c r="A44" s="141"/>
      <c r="B44" s="141"/>
      <c r="C44" s="286"/>
      <c r="D44" s="286"/>
      <c r="E44" s="286"/>
      <c r="F44" s="286"/>
      <c r="G44" s="286"/>
      <c r="H44" s="286"/>
      <c r="I44" s="141"/>
      <c r="J44" s="141"/>
      <c r="L44" s="348"/>
      <c r="M44" s="348"/>
      <c r="N44" s="348"/>
      <c r="O44" s="348"/>
    </row>
    <row r="45" spans="1:15" ht="18.75">
      <c r="A45" s="398"/>
      <c r="B45" s="395"/>
      <c r="C45" s="396"/>
      <c r="D45" s="496"/>
      <c r="E45" s="507"/>
      <c r="F45" s="508"/>
      <c r="G45" s="508"/>
      <c r="H45" s="508"/>
      <c r="I45" s="396"/>
      <c r="J45" s="396"/>
    </row>
    <row r="46" spans="1:15" ht="18.75">
      <c r="A46" s="398"/>
      <c r="B46" s="396"/>
      <c r="C46" s="497"/>
      <c r="D46" s="499"/>
      <c r="E46" s="499"/>
      <c r="F46" s="499"/>
      <c r="G46" s="499"/>
      <c r="H46" s="499"/>
      <c r="I46" s="497"/>
      <c r="J46" s="497"/>
    </row>
    <row r="47" spans="1:15" ht="16.5">
      <c r="A47" s="399"/>
      <c r="B47" s="399"/>
      <c r="C47" s="501"/>
      <c r="D47" s="501"/>
      <c r="E47" s="501"/>
      <c r="F47" s="501"/>
      <c r="G47" s="501"/>
      <c r="H47" s="501"/>
      <c r="I47" s="501"/>
      <c r="J47" s="501"/>
    </row>
    <row r="48" spans="1:15" ht="16.5">
      <c r="A48" s="500"/>
      <c r="B48" s="500"/>
      <c r="C48" s="500"/>
      <c r="D48" s="500"/>
      <c r="E48" s="500"/>
      <c r="F48" s="500"/>
      <c r="G48" s="500"/>
      <c r="H48" s="500"/>
      <c r="I48" s="500"/>
      <c r="J48" s="500"/>
    </row>
  </sheetData>
  <mergeCells count="11">
    <mergeCell ref="G2:J2"/>
    <mergeCell ref="G1:J1"/>
    <mergeCell ref="A43:B43"/>
    <mergeCell ref="A3:J3"/>
    <mergeCell ref="A4:J4"/>
    <mergeCell ref="E7:H7"/>
    <mergeCell ref="H6:J6"/>
    <mergeCell ref="C7:D7"/>
    <mergeCell ref="A7:A9"/>
    <mergeCell ref="B7:B9"/>
    <mergeCell ref="I7:J7"/>
  </mergeCells>
  <pageMargins left="0.43" right="0.15748031496063" top="0.43307086614173201" bottom="0.39370078740157499" header="0.31496062992126" footer="0.23622047244094499"/>
  <pageSetup paperSize="9" scale="78" orientation="landscape" horizontalDpi="4294967295" verticalDpi="4294967295" r:id="rId1"/>
  <headerFooter differentFirst="1" alignWithMargins="0">
    <oddFooter>&amp;R&amp;P</oddFooter>
  </headerFooter>
  <ignoredErrors>
    <ignoredError sqref="E40:G40 E19 E43" formula="1"/>
    <ignoredError sqref="D11:D1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zoomScale="55" zoomScaleNormal="55" zoomScalePageLayoutView="85" workbookViewId="0">
      <selection activeCell="A6" sqref="A6:F6"/>
    </sheetView>
  </sheetViews>
  <sheetFormatPr defaultRowHeight="15.75"/>
  <cols>
    <col min="1" max="1" width="5.125" style="38" customWidth="1"/>
    <col min="2" max="2" width="67" style="38" customWidth="1"/>
    <col min="3" max="6" width="17.375" style="38" customWidth="1"/>
    <col min="7" max="7" width="16" style="16" bestFit="1" customWidth="1"/>
    <col min="8" max="8" width="9" style="38"/>
    <col min="9" max="9" width="36.5" style="38" customWidth="1"/>
    <col min="10" max="16384" width="9" style="38"/>
  </cols>
  <sheetData>
    <row r="1" spans="1:9" ht="21" customHeight="1">
      <c r="A1" s="753" t="str">
        <f>'62'!A1</f>
        <v>HỘI NHÂN DÂN TỈNH BÌNH PHƯỚC</v>
      </c>
      <c r="B1" s="753"/>
      <c r="C1" s="41"/>
      <c r="D1" s="143"/>
      <c r="E1" s="760" t="s">
        <v>208</v>
      </c>
      <c r="F1" s="760"/>
    </row>
    <row r="2" spans="1:9" ht="72" customHeight="1">
      <c r="A2" s="290"/>
      <c r="B2" s="290"/>
      <c r="C2" s="41"/>
      <c r="D2" s="143"/>
      <c r="E2" s="761" t="s">
        <v>340</v>
      </c>
      <c r="F2" s="761"/>
    </row>
    <row r="3" spans="1:9" ht="21" customHeight="1">
      <c r="A3" s="290"/>
      <c r="B3" s="290"/>
      <c r="C3" s="41"/>
      <c r="D3" s="143"/>
      <c r="E3" s="143"/>
      <c r="F3" s="291"/>
    </row>
    <row r="4" spans="1:9" ht="26.25" customHeight="1">
      <c r="A4" s="759" t="s">
        <v>510</v>
      </c>
      <c r="B4" s="759"/>
      <c r="C4" s="759"/>
      <c r="D4" s="759"/>
      <c r="E4" s="759"/>
      <c r="F4" s="759"/>
    </row>
    <row r="5" spans="1:9" ht="21" customHeight="1">
      <c r="A5" s="198"/>
      <c r="B5" s="198"/>
      <c r="C5" s="198"/>
      <c r="D5" s="198"/>
      <c r="E5" s="198"/>
      <c r="F5" s="198"/>
    </row>
    <row r="6" spans="1:9" ht="29.25" customHeight="1">
      <c r="A6" s="758" t="str">
        <f>'62'!A4:J4</f>
        <v>(Kèm theo Nghị quyết số:         /NQ-HĐND ngày      tháng  12  năm 2023 của Hội đồng nhân dân tỉnh)</v>
      </c>
      <c r="B6" s="758"/>
      <c r="C6" s="758"/>
      <c r="D6" s="758"/>
      <c r="E6" s="758"/>
      <c r="F6" s="758"/>
    </row>
    <row r="7" spans="1:9" ht="35.25" customHeight="1">
      <c r="A7" s="146"/>
      <c r="B7" s="146"/>
      <c r="C7" s="167"/>
      <c r="E7" s="757" t="s">
        <v>209</v>
      </c>
      <c r="F7" s="757"/>
    </row>
    <row r="8" spans="1:9" s="122" customFormat="1" ht="23.25" customHeight="1">
      <c r="A8" s="755" t="s">
        <v>18</v>
      </c>
      <c r="B8" s="755" t="s">
        <v>178</v>
      </c>
      <c r="C8" s="755" t="s">
        <v>237</v>
      </c>
      <c r="D8" s="755" t="s">
        <v>238</v>
      </c>
      <c r="E8" s="754" t="s">
        <v>239</v>
      </c>
      <c r="F8" s="754"/>
      <c r="G8" s="123"/>
    </row>
    <row r="9" spans="1:9" s="122" customFormat="1" ht="23.25" customHeight="1">
      <c r="A9" s="756"/>
      <c r="B9" s="756"/>
      <c r="C9" s="756"/>
      <c r="D9" s="756"/>
      <c r="E9" s="147" t="s">
        <v>211</v>
      </c>
      <c r="F9" s="147" t="s">
        <v>212</v>
      </c>
      <c r="G9" s="123"/>
    </row>
    <row r="10" spans="1:9" s="150" customFormat="1" ht="17.25" customHeight="1">
      <c r="A10" s="351" t="s">
        <v>1</v>
      </c>
      <c r="B10" s="351" t="s">
        <v>2</v>
      </c>
      <c r="C10" s="351">
        <v>1</v>
      </c>
      <c r="D10" s="351">
        <f>C10+1</f>
        <v>2</v>
      </c>
      <c r="E10" s="351" t="s">
        <v>213</v>
      </c>
      <c r="F10" s="353" t="s">
        <v>214</v>
      </c>
      <c r="G10" s="195"/>
    </row>
    <row r="11" spans="1:9" s="39" customFormat="1" ht="30" customHeight="1">
      <c r="A11" s="168" t="s">
        <v>1</v>
      </c>
      <c r="B11" s="169" t="s">
        <v>215</v>
      </c>
      <c r="C11" s="260">
        <f>+C12+C15+SUM(C18:C20)</f>
        <v>18488000</v>
      </c>
      <c r="D11" s="260">
        <f>+D12+D15+SUM(D18:D22)</f>
        <v>22860364.199999999</v>
      </c>
      <c r="E11" s="349">
        <f>D11-C11</f>
        <v>4372364.1999999993</v>
      </c>
      <c r="F11" s="260">
        <f>D11/C11*100</f>
        <v>123.64974145391605</v>
      </c>
      <c r="G11" s="197"/>
      <c r="I11" s="328"/>
    </row>
    <row r="12" spans="1:9" s="39" customFormat="1" ht="30" customHeight="1">
      <c r="A12" s="171" t="s">
        <v>86</v>
      </c>
      <c r="B12" s="172" t="s">
        <v>216</v>
      </c>
      <c r="C12" s="178">
        <f>+C13+C14</f>
        <v>12980170</v>
      </c>
      <c r="D12" s="178">
        <f>+D13+D14</f>
        <v>12943670.199999999</v>
      </c>
      <c r="E12" s="264">
        <f t="shared" ref="E12:E42" si="0">D12-C12</f>
        <v>-36499.800000000745</v>
      </c>
      <c r="F12" s="178">
        <f t="shared" ref="F12:F42" si="1">D12/C12*100</f>
        <v>99.718803374686146</v>
      </c>
      <c r="G12" s="197"/>
      <c r="I12" s="328"/>
    </row>
    <row r="13" spans="1:9" s="39" customFormat="1" ht="30" customHeight="1">
      <c r="A13" s="173" t="s">
        <v>217</v>
      </c>
      <c r="B13" s="174" t="s">
        <v>218</v>
      </c>
      <c r="C13" s="450">
        <v>8509940</v>
      </c>
      <c r="D13" s="176">
        <f>'60'!C11</f>
        <v>8479856.1999999993</v>
      </c>
      <c r="E13" s="263">
        <f t="shared" si="0"/>
        <v>-30083.800000000745</v>
      </c>
      <c r="F13" s="263">
        <f t="shared" si="1"/>
        <v>99.646486344204533</v>
      </c>
      <c r="G13" s="197"/>
    </row>
    <row r="14" spans="1:9" s="39" customFormat="1" ht="30" customHeight="1">
      <c r="A14" s="173" t="s">
        <v>217</v>
      </c>
      <c r="B14" s="174" t="s">
        <v>219</v>
      </c>
      <c r="C14" s="450">
        <v>4470230</v>
      </c>
      <c r="D14" s="176">
        <f>'60'!C12</f>
        <v>4463814</v>
      </c>
      <c r="E14" s="263">
        <f t="shared" si="0"/>
        <v>-6416</v>
      </c>
      <c r="F14" s="263">
        <f t="shared" si="1"/>
        <v>99.856472709457904</v>
      </c>
      <c r="G14" s="197"/>
    </row>
    <row r="15" spans="1:9" s="151" customFormat="1" ht="30" customHeight="1">
      <c r="A15" s="171" t="s">
        <v>71</v>
      </c>
      <c r="B15" s="172" t="s">
        <v>92</v>
      </c>
      <c r="C15" s="178">
        <f>+C16+C17</f>
        <v>4023225</v>
      </c>
      <c r="D15" s="178">
        <f>+D16+D17</f>
        <v>4089608</v>
      </c>
      <c r="E15" s="264">
        <f t="shared" si="0"/>
        <v>66383</v>
      </c>
      <c r="F15" s="178">
        <f t="shared" si="1"/>
        <v>101.64999471816765</v>
      </c>
      <c r="G15" s="261"/>
    </row>
    <row r="16" spans="1:9" s="39" customFormat="1" ht="30" customHeight="1">
      <c r="A16" s="177">
        <v>1</v>
      </c>
      <c r="B16" s="174" t="s">
        <v>220</v>
      </c>
      <c r="C16" s="176">
        <v>2504745</v>
      </c>
      <c r="D16" s="176">
        <f>'60'!D18</f>
        <v>2504745</v>
      </c>
      <c r="E16" s="263">
        <f t="shared" si="0"/>
        <v>0</v>
      </c>
      <c r="F16" s="176">
        <f t="shared" si="1"/>
        <v>100</v>
      </c>
      <c r="G16" s="197"/>
    </row>
    <row r="17" spans="1:7" s="39" customFormat="1" ht="30" customHeight="1">
      <c r="A17" s="177">
        <f>A16+1</f>
        <v>2</v>
      </c>
      <c r="B17" s="174" t="s">
        <v>221</v>
      </c>
      <c r="C17" s="176">
        <v>1518480</v>
      </c>
      <c r="D17" s="176">
        <f>'60'!D19</f>
        <v>1584863</v>
      </c>
      <c r="E17" s="263">
        <f t="shared" si="0"/>
        <v>66383</v>
      </c>
      <c r="F17" s="176">
        <f t="shared" si="1"/>
        <v>104.37167430588484</v>
      </c>
      <c r="G17" s="197"/>
    </row>
    <row r="18" spans="1:7" s="152" customFormat="1" ht="30" customHeight="1">
      <c r="A18" s="171" t="s">
        <v>73</v>
      </c>
      <c r="B18" s="172" t="s">
        <v>307</v>
      </c>
      <c r="C18" s="178">
        <v>30000</v>
      </c>
      <c r="D18" s="178"/>
      <c r="E18" s="264">
        <f t="shared" si="0"/>
        <v>-30000</v>
      </c>
      <c r="F18" s="178">
        <f t="shared" si="1"/>
        <v>0</v>
      </c>
      <c r="G18" s="262"/>
    </row>
    <row r="19" spans="1:7" s="152" customFormat="1" ht="30" customHeight="1">
      <c r="A19" s="171" t="s">
        <v>79</v>
      </c>
      <c r="B19" s="172" t="s">
        <v>222</v>
      </c>
      <c r="C19" s="178">
        <v>1454605</v>
      </c>
      <c r="D19" s="178">
        <f>'60'!C14</f>
        <v>547535</v>
      </c>
      <c r="E19" s="264">
        <f t="shared" si="0"/>
        <v>-907070</v>
      </c>
      <c r="F19" s="178">
        <f t="shared" si="1"/>
        <v>37.641490301490784</v>
      </c>
      <c r="G19" s="262"/>
    </row>
    <row r="20" spans="1:7" s="152" customFormat="1" ht="30" customHeight="1">
      <c r="A20" s="171" t="s">
        <v>80</v>
      </c>
      <c r="B20" s="172" t="s">
        <v>223</v>
      </c>
      <c r="C20" s="178">
        <v>0</v>
      </c>
      <c r="D20" s="178">
        <f>'60'!C15</f>
        <v>5249083</v>
      </c>
      <c r="E20" s="264">
        <f t="shared" si="0"/>
        <v>5249083</v>
      </c>
      <c r="F20" s="178"/>
      <c r="G20" s="262"/>
    </row>
    <row r="21" spans="1:7" s="152" customFormat="1" ht="30" customHeight="1">
      <c r="A21" s="171" t="s">
        <v>81</v>
      </c>
      <c r="B21" s="172" t="s">
        <v>438</v>
      </c>
      <c r="C21" s="178"/>
      <c r="D21" s="178">
        <f>'60'!D20</f>
        <v>18600</v>
      </c>
      <c r="E21" s="264">
        <f>D21-C21</f>
        <v>18600</v>
      </c>
      <c r="F21" s="178"/>
      <c r="G21" s="262"/>
    </row>
    <row r="22" spans="1:7" s="152" customFormat="1" ht="30" customHeight="1">
      <c r="A22" s="171" t="s">
        <v>81</v>
      </c>
      <c r="B22" s="172" t="s">
        <v>172</v>
      </c>
      <c r="C22" s="178"/>
      <c r="D22" s="178">
        <f>'60'!C16</f>
        <v>11868</v>
      </c>
      <c r="E22" s="264">
        <f t="shared" si="0"/>
        <v>11868</v>
      </c>
      <c r="F22" s="178"/>
      <c r="G22" s="262"/>
    </row>
    <row r="23" spans="1:7" s="39" customFormat="1" ht="30" customHeight="1">
      <c r="A23" s="171" t="s">
        <v>2</v>
      </c>
      <c r="B23" s="172" t="s">
        <v>224</v>
      </c>
      <c r="C23" s="178">
        <f>C24</f>
        <v>18488000</v>
      </c>
      <c r="D23" s="178">
        <f>D24</f>
        <v>22747202.800000004</v>
      </c>
      <c r="E23" s="264">
        <f t="shared" si="0"/>
        <v>4259202.8000000045</v>
      </c>
      <c r="F23" s="178">
        <f t="shared" si="1"/>
        <v>123.03766118563395</v>
      </c>
      <c r="G23" s="197"/>
    </row>
    <row r="24" spans="1:7" s="39" customFormat="1" ht="30" customHeight="1">
      <c r="A24" s="171" t="s">
        <v>86</v>
      </c>
      <c r="B24" s="172" t="s">
        <v>225</v>
      </c>
      <c r="C24" s="178">
        <f>SUM(C25:C34)</f>
        <v>18488000</v>
      </c>
      <c r="D24" s="178">
        <f>SUM(D25:D34)</f>
        <v>22747202.800000004</v>
      </c>
      <c r="E24" s="264">
        <f t="shared" si="0"/>
        <v>4259202.8000000045</v>
      </c>
      <c r="F24" s="178">
        <f t="shared" si="1"/>
        <v>123.03766118563395</v>
      </c>
      <c r="G24" s="197"/>
    </row>
    <row r="25" spans="1:7" s="39" customFormat="1" ht="30" customHeight="1">
      <c r="A25" s="177">
        <v>1</v>
      </c>
      <c r="B25" s="174" t="s">
        <v>226</v>
      </c>
      <c r="C25" s="263">
        <f>'62'!D13+'62'!D15</f>
        <v>7481382</v>
      </c>
      <c r="D25" s="263">
        <f>'62'!E12</f>
        <v>6450021</v>
      </c>
      <c r="E25" s="263">
        <f t="shared" si="0"/>
        <v>-1031361</v>
      </c>
      <c r="F25" s="263">
        <f t="shared" si="1"/>
        <v>86.214298374284326</v>
      </c>
      <c r="G25" s="197"/>
    </row>
    <row r="26" spans="1:7" s="39" customFormat="1" ht="30" customHeight="1">
      <c r="A26" s="177">
        <v>2</v>
      </c>
      <c r="B26" s="174" t="s">
        <v>154</v>
      </c>
      <c r="C26" s="263">
        <f>'62'!D19</f>
        <v>8802907</v>
      </c>
      <c r="D26" s="263">
        <f>'62'!E19</f>
        <v>7245688.2000000011</v>
      </c>
      <c r="E26" s="263">
        <f t="shared" si="0"/>
        <v>-1557218.7999999989</v>
      </c>
      <c r="F26" s="263">
        <f t="shared" si="1"/>
        <v>82.310175490891822</v>
      </c>
      <c r="G26" s="197"/>
    </row>
    <row r="27" spans="1:7" s="39" customFormat="1" ht="30" customHeight="1">
      <c r="A27" s="177">
        <v>3</v>
      </c>
      <c r="B27" s="174" t="s">
        <v>227</v>
      </c>
      <c r="C27" s="263">
        <f>'62'!D32</f>
        <v>1000</v>
      </c>
      <c r="D27" s="263">
        <f>'62'!E32</f>
        <v>0</v>
      </c>
      <c r="E27" s="263">
        <f t="shared" si="0"/>
        <v>-1000</v>
      </c>
      <c r="F27" s="263">
        <f t="shared" si="1"/>
        <v>0</v>
      </c>
      <c r="G27" s="197"/>
    </row>
    <row r="28" spans="1:7" ht="30" customHeight="1">
      <c r="A28" s="354">
        <v>4</v>
      </c>
      <c r="B28" s="355" t="s">
        <v>143</v>
      </c>
      <c r="C28" s="263">
        <f>'62'!D33</f>
        <v>0</v>
      </c>
      <c r="D28" s="263">
        <f>'62'!E33</f>
        <v>9016720</v>
      </c>
      <c r="E28" s="263">
        <f t="shared" si="0"/>
        <v>9016720</v>
      </c>
      <c r="F28" s="263">
        <v>0</v>
      </c>
    </row>
    <row r="29" spans="1:7" s="39" customFormat="1" ht="30" customHeight="1">
      <c r="A29" s="354">
        <v>5</v>
      </c>
      <c r="B29" s="355" t="s">
        <v>130</v>
      </c>
      <c r="C29" s="263">
        <f>'62'!D34</f>
        <v>589474</v>
      </c>
      <c r="D29" s="263">
        <f>'62'!E34</f>
        <v>0</v>
      </c>
      <c r="E29" s="263">
        <f t="shared" si="0"/>
        <v>-589474</v>
      </c>
      <c r="F29" s="263">
        <f t="shared" si="1"/>
        <v>0</v>
      </c>
      <c r="G29" s="197"/>
    </row>
    <row r="30" spans="1:7" s="39" customFormat="1" ht="30" customHeight="1">
      <c r="A30" s="354">
        <v>6</v>
      </c>
      <c r="B30" s="355" t="s">
        <v>132</v>
      </c>
      <c r="C30" s="263">
        <f>'62'!D35</f>
        <v>1490785</v>
      </c>
      <c r="D30" s="263">
        <f>'62'!E35</f>
        <v>0</v>
      </c>
      <c r="E30" s="263">
        <f t="shared" si="0"/>
        <v>-1490785</v>
      </c>
      <c r="F30" s="263">
        <f t="shared" si="1"/>
        <v>0</v>
      </c>
      <c r="G30" s="197"/>
    </row>
    <row r="31" spans="1:7" s="39" customFormat="1" ht="30" customHeight="1">
      <c r="A31" s="354">
        <v>8</v>
      </c>
      <c r="B31" s="355" t="s">
        <v>133</v>
      </c>
      <c r="C31" s="263">
        <f>'62'!D36</f>
        <v>122452</v>
      </c>
      <c r="D31" s="263">
        <f>'62'!E36</f>
        <v>0</v>
      </c>
      <c r="E31" s="263">
        <f t="shared" si="0"/>
        <v>-122452</v>
      </c>
      <c r="F31" s="263"/>
      <c r="G31" s="197"/>
    </row>
    <row r="32" spans="1:7" s="39" customFormat="1" ht="30" customHeight="1">
      <c r="A32" s="354">
        <v>9</v>
      </c>
      <c r="B32" s="355" t="s">
        <v>134</v>
      </c>
      <c r="C32" s="263">
        <f>'62'!D37</f>
        <v>0</v>
      </c>
      <c r="D32" s="263">
        <f>'62'!E37</f>
        <v>0</v>
      </c>
      <c r="E32" s="263">
        <f t="shared" si="0"/>
        <v>0</v>
      </c>
      <c r="F32" s="263" t="e">
        <f t="shared" si="1"/>
        <v>#DIV/0!</v>
      </c>
      <c r="G32" s="197"/>
    </row>
    <row r="33" spans="1:7" s="39" customFormat="1" ht="30" customHeight="1">
      <c r="A33" s="354">
        <v>13</v>
      </c>
      <c r="B33" s="39" t="s">
        <v>155</v>
      </c>
      <c r="C33" s="263">
        <f>'62'!D38</f>
        <v>0</v>
      </c>
      <c r="D33" s="263">
        <f>'62'!E38</f>
        <v>25547.599999999999</v>
      </c>
      <c r="E33" s="263">
        <f t="shared" si="0"/>
        <v>25547.599999999999</v>
      </c>
      <c r="F33" s="263">
        <v>0</v>
      </c>
      <c r="G33" s="197"/>
    </row>
    <row r="34" spans="1:7" s="39" customFormat="1" ht="30" customHeight="1">
      <c r="A34" s="356">
        <v>14</v>
      </c>
      <c r="B34" s="357" t="s">
        <v>135</v>
      </c>
      <c r="C34" s="263">
        <f>'62'!D39</f>
        <v>0</v>
      </c>
      <c r="D34" s="263">
        <f>'62'!E39</f>
        <v>9226</v>
      </c>
      <c r="E34" s="263"/>
      <c r="F34" s="263"/>
      <c r="G34" s="197"/>
    </row>
    <row r="35" spans="1:7" s="18" customFormat="1" ht="30" customHeight="1">
      <c r="A35" s="179" t="s">
        <v>90</v>
      </c>
      <c r="B35" s="172" t="s">
        <v>228</v>
      </c>
      <c r="C35" s="265"/>
      <c r="D35" s="266">
        <f>D11-D23-D36</f>
        <v>102504.39999999478</v>
      </c>
      <c r="E35" s="264">
        <f t="shared" si="0"/>
        <v>102504.39999999478</v>
      </c>
      <c r="F35" s="263"/>
      <c r="G35" s="19"/>
    </row>
    <row r="36" spans="1:7" s="20" customFormat="1" ht="30" customHeight="1">
      <c r="A36" s="179" t="s">
        <v>98</v>
      </c>
      <c r="B36" s="172" t="s">
        <v>229</v>
      </c>
      <c r="C36" s="266"/>
      <c r="D36" s="266">
        <f>D38</f>
        <v>10657</v>
      </c>
      <c r="E36" s="264">
        <f>D36-C36</f>
        <v>10657</v>
      </c>
      <c r="F36" s="264"/>
      <c r="G36" s="37"/>
    </row>
    <row r="37" spans="1:7" s="153" customFormat="1" ht="30" customHeight="1">
      <c r="A37" s="171" t="s">
        <v>86</v>
      </c>
      <c r="B37" s="172" t="s">
        <v>230</v>
      </c>
      <c r="C37" s="265"/>
      <c r="D37" s="265"/>
      <c r="E37" s="263">
        <f t="shared" si="0"/>
        <v>0</v>
      </c>
      <c r="F37" s="263"/>
      <c r="G37" s="142"/>
    </row>
    <row r="38" spans="1:7" s="153" customFormat="1" ht="45" customHeight="1">
      <c r="A38" s="171" t="s">
        <v>71</v>
      </c>
      <c r="B38" s="267" t="s">
        <v>231</v>
      </c>
      <c r="C38" s="265"/>
      <c r="D38" s="265">
        <f>'62'!F15</f>
        <v>10657</v>
      </c>
      <c r="E38" s="263">
        <f>D38-C38</f>
        <v>10657</v>
      </c>
      <c r="F38" s="263"/>
      <c r="G38" s="142"/>
    </row>
    <row r="39" spans="1:7" s="20" customFormat="1" ht="30" customHeight="1">
      <c r="A39" s="171" t="s">
        <v>100</v>
      </c>
      <c r="B39" s="180" t="s">
        <v>232</v>
      </c>
      <c r="C39" s="265"/>
      <c r="D39" s="265"/>
      <c r="E39" s="263">
        <f t="shared" si="0"/>
        <v>0</v>
      </c>
      <c r="F39" s="263"/>
      <c r="G39" s="37"/>
    </row>
    <row r="40" spans="1:7" s="153" customFormat="1" ht="30" customHeight="1">
      <c r="A40" s="171" t="s">
        <v>86</v>
      </c>
      <c r="B40" s="172" t="s">
        <v>233</v>
      </c>
      <c r="C40" s="265"/>
      <c r="D40" s="265"/>
      <c r="E40" s="263">
        <f t="shared" si="0"/>
        <v>0</v>
      </c>
      <c r="F40" s="263"/>
      <c r="G40" s="142"/>
    </row>
    <row r="41" spans="1:7" s="153" customFormat="1" ht="30" customHeight="1">
      <c r="A41" s="171" t="s">
        <v>71</v>
      </c>
      <c r="B41" s="172" t="s">
        <v>234</v>
      </c>
      <c r="C41" s="265"/>
      <c r="D41" s="265"/>
      <c r="E41" s="263">
        <f t="shared" si="0"/>
        <v>0</v>
      </c>
      <c r="F41" s="263"/>
      <c r="G41" s="142"/>
    </row>
    <row r="42" spans="1:7" s="20" customFormat="1" ht="30" customHeight="1">
      <c r="A42" s="292" t="s">
        <v>141</v>
      </c>
      <c r="B42" s="293" t="s">
        <v>235</v>
      </c>
      <c r="C42" s="294">
        <f>C12*0.2-31000</f>
        <v>2565034</v>
      </c>
      <c r="D42" s="294">
        <f>D12*0.2-D38</f>
        <v>2578077.04</v>
      </c>
      <c r="E42" s="295">
        <f t="shared" si="0"/>
        <v>13043.040000000037</v>
      </c>
      <c r="F42" s="295">
        <f t="shared" si="1"/>
        <v>100.50849384452604</v>
      </c>
      <c r="G42" s="37"/>
    </row>
  </sheetData>
  <mergeCells count="11">
    <mergeCell ref="A1:B1"/>
    <mergeCell ref="E8:F8"/>
    <mergeCell ref="A8:A9"/>
    <mergeCell ref="B8:B9"/>
    <mergeCell ref="C8:C9"/>
    <mergeCell ref="D8:D9"/>
    <mergeCell ref="E7:F7"/>
    <mergeCell ref="A6:F6"/>
    <mergeCell ref="A4:F4"/>
    <mergeCell ref="E1:F1"/>
    <mergeCell ref="E2:F2"/>
  </mergeCells>
  <printOptions horizontalCentered="1"/>
  <pageMargins left="0.31" right="0.32" top="0.51" bottom="0.36" header="0.36" footer="0.19"/>
  <pageSetup paperSize="9" scale="64" fitToHeight="5" orientation="portrait" r:id="rId1"/>
  <headerFooter alignWithMargins="0">
    <oddFooter xml:space="preserve">&amp;C&amp;".VnTime,Italic"&amp;8
</oddFooter>
  </headerFooter>
  <ignoredErrors>
    <ignoredError sqref="C11:D1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topLeftCell="A4" zoomScale="60" zoomScaleNormal="60" workbookViewId="0">
      <pane ySplit="7" topLeftCell="A44" activePane="bottomLeft" state="frozen"/>
      <selection activeCell="L24" sqref="L24"/>
      <selection pane="bottomLeft" activeCell="O8" sqref="O8"/>
    </sheetView>
  </sheetViews>
  <sheetFormatPr defaultRowHeight="15.75"/>
  <cols>
    <col min="1" max="1" width="11.125" style="202" customWidth="1"/>
    <col min="2" max="2" width="79" style="202" customWidth="1"/>
    <col min="3" max="3" width="13.375" style="202" customWidth="1"/>
    <col min="4" max="4" width="13.375" style="188" customWidth="1"/>
    <col min="5" max="12" width="13.375" style="202" customWidth="1"/>
    <col min="13" max="13" width="9.5" style="202" bestFit="1" customWidth="1"/>
    <col min="14" max="16384" width="9" style="202"/>
  </cols>
  <sheetData>
    <row r="1" spans="1:12" ht="21" customHeight="1">
      <c r="A1" s="284" t="str">
        <f>'PL4834'!A1:B1</f>
        <v>HỘI NHÂN DÂN TỈNH BÌNH PHƯỚC</v>
      </c>
      <c r="B1" s="200"/>
      <c r="C1" s="201"/>
      <c r="D1" s="187"/>
      <c r="E1" s="201"/>
      <c r="F1" s="201"/>
      <c r="G1" s="201"/>
      <c r="H1" s="201"/>
      <c r="I1" s="762" t="s">
        <v>236</v>
      </c>
      <c r="J1" s="762"/>
      <c r="K1" s="762"/>
      <c r="L1" s="762"/>
    </row>
    <row r="2" spans="1:12" ht="48" customHeight="1">
      <c r="A2" s="203"/>
      <c r="B2" s="203"/>
      <c r="C2" s="201"/>
      <c r="D2" s="187"/>
      <c r="E2" s="201"/>
      <c r="F2" s="201"/>
      <c r="G2" s="201"/>
      <c r="H2" s="201"/>
      <c r="I2" s="763" t="s">
        <v>340</v>
      </c>
      <c r="J2" s="763"/>
      <c r="K2" s="763"/>
      <c r="L2" s="763"/>
    </row>
    <row r="3" spans="1:12" ht="21" customHeight="1">
      <c r="A3" s="762" t="s">
        <v>511</v>
      </c>
      <c r="B3" s="762"/>
      <c r="C3" s="762"/>
      <c r="D3" s="762"/>
      <c r="E3" s="762"/>
      <c r="F3" s="762"/>
      <c r="G3" s="762"/>
      <c r="H3" s="762"/>
      <c r="I3" s="762"/>
      <c r="J3" s="762"/>
      <c r="K3" s="762"/>
      <c r="L3" s="762"/>
    </row>
    <row r="4" spans="1:12" ht="21" customHeight="1">
      <c r="A4" s="762"/>
      <c r="B4" s="762"/>
      <c r="C4" s="762"/>
      <c r="D4" s="762"/>
      <c r="E4" s="762"/>
      <c r="F4" s="762"/>
      <c r="G4" s="762"/>
      <c r="H4" s="762"/>
      <c r="I4" s="762"/>
      <c r="J4" s="762"/>
      <c r="K4" s="762"/>
      <c r="L4" s="762"/>
    </row>
    <row r="5" spans="1:12" ht="33" customHeight="1">
      <c r="A5" s="765" t="str">
        <f>'PL4834'!A6:F6</f>
        <v>(Kèm theo Nghị quyết số:         /NQ-HĐND ngày      tháng  12  năm 2023 của Hội đồng nhân dân tỉnh)</v>
      </c>
      <c r="B5" s="766"/>
      <c r="C5" s="766"/>
      <c r="D5" s="766"/>
      <c r="E5" s="766"/>
      <c r="F5" s="766"/>
      <c r="G5" s="766"/>
      <c r="H5" s="766"/>
      <c r="I5" s="766"/>
      <c r="J5" s="766"/>
      <c r="K5" s="766"/>
      <c r="L5" s="766"/>
    </row>
    <row r="6" spans="1:12" ht="29.25" customHeight="1">
      <c r="A6" s="204"/>
      <c r="B6" s="204"/>
      <c r="C6" s="205"/>
      <c r="D6" s="191"/>
      <c r="E6" s="205"/>
      <c r="F6" s="205"/>
      <c r="G6" s="205"/>
      <c r="H6" s="205"/>
      <c r="I6" s="205"/>
      <c r="J6" s="205"/>
      <c r="K6" s="206"/>
      <c r="L6" s="207" t="s">
        <v>165</v>
      </c>
    </row>
    <row r="7" spans="1:12" s="208" customFormat="1" ht="29.25" customHeight="1">
      <c r="A7" s="767" t="s">
        <v>18</v>
      </c>
      <c r="B7" s="767" t="s">
        <v>178</v>
      </c>
      <c r="C7" s="773" t="s">
        <v>237</v>
      </c>
      <c r="D7" s="773"/>
      <c r="E7" s="773"/>
      <c r="F7" s="773"/>
      <c r="G7" s="767" t="s">
        <v>238</v>
      </c>
      <c r="H7" s="767"/>
      <c r="I7" s="770" t="s">
        <v>239</v>
      </c>
      <c r="J7" s="771"/>
      <c r="K7" s="771"/>
      <c r="L7" s="772"/>
    </row>
    <row r="8" spans="1:12" s="208" customFormat="1" ht="46.5" customHeight="1">
      <c r="A8" s="768"/>
      <c r="B8" s="768"/>
      <c r="C8" s="773" t="s">
        <v>298</v>
      </c>
      <c r="D8" s="773"/>
      <c r="E8" s="773" t="s">
        <v>299</v>
      </c>
      <c r="F8" s="773"/>
      <c r="G8" s="769"/>
      <c r="H8" s="769"/>
      <c r="I8" s="773" t="s">
        <v>298</v>
      </c>
      <c r="J8" s="773"/>
      <c r="K8" s="773" t="s">
        <v>299</v>
      </c>
      <c r="L8" s="773"/>
    </row>
    <row r="9" spans="1:12" s="208" customFormat="1" ht="66.75" customHeight="1">
      <c r="A9" s="769"/>
      <c r="B9" s="769"/>
      <c r="C9" s="209" t="s">
        <v>301</v>
      </c>
      <c r="D9" s="484" t="s">
        <v>302</v>
      </c>
      <c r="E9" s="209" t="s">
        <v>301</v>
      </c>
      <c r="F9" s="209" t="s">
        <v>302</v>
      </c>
      <c r="G9" s="209" t="s">
        <v>301</v>
      </c>
      <c r="H9" s="209" t="s">
        <v>302</v>
      </c>
      <c r="I9" s="209" t="s">
        <v>301</v>
      </c>
      <c r="J9" s="209" t="s">
        <v>302</v>
      </c>
      <c r="K9" s="209" t="s">
        <v>301</v>
      </c>
      <c r="L9" s="209" t="s">
        <v>302</v>
      </c>
    </row>
    <row r="10" spans="1:12" s="211" customFormat="1" ht="21.75" customHeight="1">
      <c r="A10" s="210" t="s">
        <v>1</v>
      </c>
      <c r="B10" s="210" t="s">
        <v>2</v>
      </c>
      <c r="C10" s="210">
        <v>1</v>
      </c>
      <c r="D10" s="155">
        <f>C10+1</f>
        <v>2</v>
      </c>
      <c r="E10" s="210">
        <v>3</v>
      </c>
      <c r="F10" s="210">
        <v>4</v>
      </c>
      <c r="G10" s="210">
        <v>5</v>
      </c>
      <c r="H10" s="210">
        <v>6</v>
      </c>
      <c r="I10" s="210" t="s">
        <v>303</v>
      </c>
      <c r="J10" s="210" t="s">
        <v>304</v>
      </c>
      <c r="K10" s="210" t="s">
        <v>305</v>
      </c>
      <c r="L10" s="210" t="s">
        <v>306</v>
      </c>
    </row>
    <row r="11" spans="1:12" s="205" customFormat="1" ht="27.75" customHeight="1">
      <c r="A11" s="764" t="s">
        <v>240</v>
      </c>
      <c r="B11" s="764"/>
      <c r="C11" s="212">
        <f>C12+C74+C81+SUM(C86:C88)</f>
        <v>15856580</v>
      </c>
      <c r="D11" s="196">
        <f>+D12+D74+D81+SUM(D86:D88)</f>
        <v>14488165</v>
      </c>
      <c r="E11" s="212">
        <f>+E12+E74+E81+SUM(E86:E88)</f>
        <v>19757830</v>
      </c>
      <c r="F11" s="212">
        <f>+F12+F74+F81+SUM(F86:F88)</f>
        <v>18488000</v>
      </c>
      <c r="G11" s="212">
        <f>+G12+G74+G81+SUM(G86:G88)</f>
        <v>30929562</v>
      </c>
      <c r="H11" s="212">
        <f>+H12+H74+H81+SUM(H86:H88)</f>
        <v>29591040</v>
      </c>
      <c r="I11" s="212">
        <f>G11/C11*100</f>
        <v>195.05821557990436</v>
      </c>
      <c r="J11" s="212">
        <f>H11/D11*100</f>
        <v>204.24284234752986</v>
      </c>
      <c r="K11" s="212">
        <f>G11/E11*100</f>
        <v>156.54331472636417</v>
      </c>
      <c r="L11" s="212">
        <f>H11/F11*100</f>
        <v>160.05538727823455</v>
      </c>
    </row>
    <row r="12" spans="1:12" s="205" customFormat="1" ht="26.25" customHeight="1">
      <c r="A12" s="213" t="s">
        <v>1</v>
      </c>
      <c r="B12" s="214" t="s">
        <v>296</v>
      </c>
      <c r="C12" s="215">
        <f>'61'!C11</f>
        <v>12180000</v>
      </c>
      <c r="D12" s="297">
        <f>D13+D63+SUM(D70:D71)</f>
        <v>10749285</v>
      </c>
      <c r="E12" s="215">
        <f>'61'!D11</f>
        <v>14250000</v>
      </c>
      <c r="F12" s="215">
        <f>F13+F63+SUM(F70:F71)</f>
        <v>12980170</v>
      </c>
      <c r="G12" s="215">
        <f>'61'!E11</f>
        <v>14282505.199999999</v>
      </c>
      <c r="H12" s="215">
        <f>H13+H63+SUM(H70:H71)</f>
        <v>12943983.199999999</v>
      </c>
      <c r="I12" s="215">
        <f t="shared" ref="I12:I66" si="0">G12/C12*100</f>
        <v>117.26194745484399</v>
      </c>
      <c r="J12" s="215">
        <f t="shared" ref="J12:J62" si="1">H12/D12*100</f>
        <v>120.41715518753107</v>
      </c>
      <c r="K12" s="215">
        <f t="shared" ref="K12:K66" si="2">G12/E12*100</f>
        <v>100.22810666666666</v>
      </c>
      <c r="L12" s="215">
        <f t="shared" ref="L12:L62" si="3">H12/F12*100</f>
        <v>99.72121474526142</v>
      </c>
    </row>
    <row r="13" spans="1:12" s="205" customFormat="1" ht="26.25" customHeight="1">
      <c r="A13" s="216" t="s">
        <v>86</v>
      </c>
      <c r="B13" s="217" t="s">
        <v>295</v>
      </c>
      <c r="C13" s="218">
        <f>'61'!C12</f>
        <v>11030000</v>
      </c>
      <c r="D13" s="199">
        <f>+D14+D21+D28+D35+SUM(D42:D46)+D49+D53+SUM(D56:D57)+SUM(D59:D62)</f>
        <v>10749285</v>
      </c>
      <c r="E13" s="218">
        <f>'61'!D12</f>
        <v>13100000</v>
      </c>
      <c r="F13" s="218">
        <f>+F14+F21+F28+F35+SUM(F42:F46)+F49+F53+SUM(F56:F57)+SUM(F59:F62)</f>
        <v>12980170</v>
      </c>
      <c r="G13" s="218">
        <f>'61'!E12</f>
        <v>13229249.199999999</v>
      </c>
      <c r="H13" s="218">
        <f>+H14+H21+H28+H35+SUM(H42:H46)+H49+H53+SUM(H56:H57)+SUM(H59:H62)</f>
        <v>12934757.199999999</v>
      </c>
      <c r="I13" s="218">
        <f t="shared" si="0"/>
        <v>119.93879601087943</v>
      </c>
      <c r="J13" s="218">
        <f t="shared" si="1"/>
        <v>120.33132622309297</v>
      </c>
      <c r="K13" s="218">
        <f t="shared" si="2"/>
        <v>100.98663511450381</v>
      </c>
      <c r="L13" s="218">
        <f t="shared" si="3"/>
        <v>99.650137093736063</v>
      </c>
    </row>
    <row r="14" spans="1:12" s="205" customFormat="1" ht="26.25" customHeight="1">
      <c r="A14" s="219" t="s">
        <v>33</v>
      </c>
      <c r="B14" s="220" t="s">
        <v>200</v>
      </c>
      <c r="C14" s="218">
        <f>'61'!C13</f>
        <v>480000</v>
      </c>
      <c r="D14" s="199">
        <f>SUM(D15:D20)</f>
        <v>480000</v>
      </c>
      <c r="E14" s="218">
        <f>'61'!D13</f>
        <v>500000</v>
      </c>
      <c r="F14" s="218">
        <f>SUM(F15:F20)</f>
        <v>500000</v>
      </c>
      <c r="G14" s="218">
        <f>'61'!E13</f>
        <v>570524</v>
      </c>
      <c r="H14" s="218">
        <f>SUM(H15:H20)</f>
        <v>570524</v>
      </c>
      <c r="I14" s="218">
        <f t="shared" si="0"/>
        <v>118.85916666666667</v>
      </c>
      <c r="J14" s="218">
        <f t="shared" si="1"/>
        <v>118.85916666666667</v>
      </c>
      <c r="K14" s="218">
        <f t="shared" si="2"/>
        <v>114.10480000000001</v>
      </c>
      <c r="L14" s="218">
        <f t="shared" si="3"/>
        <v>114.10480000000001</v>
      </c>
    </row>
    <row r="15" spans="1:12" s="205" customFormat="1" ht="26.25" customHeight="1">
      <c r="A15" s="222"/>
      <c r="B15" s="223" t="s">
        <v>34</v>
      </c>
      <c r="C15" s="221">
        <f>'61'!C14</f>
        <v>263000</v>
      </c>
      <c r="D15" s="194">
        <f>C15</f>
        <v>263000</v>
      </c>
      <c r="E15" s="221">
        <f>'61'!D14</f>
        <v>296000</v>
      </c>
      <c r="F15" s="221">
        <f>E15</f>
        <v>296000</v>
      </c>
      <c r="G15" s="221">
        <f>'61'!E14</f>
        <v>253591</v>
      </c>
      <c r="H15" s="221">
        <f>G15</f>
        <v>253591</v>
      </c>
      <c r="I15" s="221">
        <f t="shared" si="0"/>
        <v>96.422433460076036</v>
      </c>
      <c r="J15" s="221">
        <f t="shared" si="1"/>
        <v>96.422433460076036</v>
      </c>
      <c r="K15" s="221">
        <f t="shared" si="2"/>
        <v>85.672635135135138</v>
      </c>
      <c r="L15" s="221">
        <f t="shared" si="3"/>
        <v>85.672635135135138</v>
      </c>
    </row>
    <row r="16" spans="1:12" s="205" customFormat="1" ht="26.25" customHeight="1">
      <c r="A16" s="222"/>
      <c r="B16" s="223" t="s">
        <v>35</v>
      </c>
      <c r="C16" s="221">
        <f>'61'!C15</f>
        <v>185000</v>
      </c>
      <c r="D16" s="194">
        <f t="shared" ref="D16:D20" si="4">C16</f>
        <v>185000</v>
      </c>
      <c r="E16" s="221">
        <f>'61'!D15</f>
        <v>180000</v>
      </c>
      <c r="F16" s="221">
        <f t="shared" ref="F16:F20" si="5">E16</f>
        <v>180000</v>
      </c>
      <c r="G16" s="221">
        <f>'61'!E15</f>
        <v>272445</v>
      </c>
      <c r="H16" s="221">
        <f>G16</f>
        <v>272445</v>
      </c>
      <c r="I16" s="221">
        <f t="shared" si="0"/>
        <v>147.26756756756757</v>
      </c>
      <c r="J16" s="221">
        <f t="shared" si="1"/>
        <v>147.26756756756757</v>
      </c>
      <c r="K16" s="221">
        <f t="shared" si="2"/>
        <v>151.35833333333332</v>
      </c>
      <c r="L16" s="221">
        <f t="shared" si="3"/>
        <v>151.35833333333332</v>
      </c>
    </row>
    <row r="17" spans="1:12" s="205" customFormat="1" ht="26.25" customHeight="1">
      <c r="A17" s="224"/>
      <c r="B17" s="223" t="s">
        <v>123</v>
      </c>
      <c r="C17" s="221">
        <f>'61'!C16</f>
        <v>0</v>
      </c>
      <c r="D17" s="194">
        <f t="shared" si="4"/>
        <v>0</v>
      </c>
      <c r="E17" s="221">
        <f>'61'!D16</f>
        <v>0</v>
      </c>
      <c r="F17" s="221">
        <f t="shared" si="5"/>
        <v>0</v>
      </c>
      <c r="G17" s="221">
        <f>'61'!E16</f>
        <v>0</v>
      </c>
      <c r="H17" s="221">
        <f t="shared" ref="H17:H20" si="6">G17</f>
        <v>0</v>
      </c>
      <c r="I17" s="221"/>
      <c r="J17" s="221"/>
      <c r="K17" s="221"/>
      <c r="L17" s="221"/>
    </row>
    <row r="18" spans="1:12" s="205" customFormat="1" ht="26.25" customHeight="1">
      <c r="A18" s="222"/>
      <c r="B18" s="223" t="s">
        <v>37</v>
      </c>
      <c r="C18" s="221">
        <f>'61'!C17</f>
        <v>32000</v>
      </c>
      <c r="D18" s="194">
        <f t="shared" si="4"/>
        <v>32000</v>
      </c>
      <c r="E18" s="221">
        <f>'61'!D17</f>
        <v>24000</v>
      </c>
      <c r="F18" s="221">
        <f t="shared" si="5"/>
        <v>24000</v>
      </c>
      <c r="G18" s="221">
        <f>'61'!E17</f>
        <v>44488</v>
      </c>
      <c r="H18" s="221">
        <f t="shared" si="6"/>
        <v>44488</v>
      </c>
      <c r="I18" s="221">
        <f t="shared" si="0"/>
        <v>139.02500000000001</v>
      </c>
      <c r="J18" s="221">
        <f t="shared" si="1"/>
        <v>139.02500000000001</v>
      </c>
      <c r="K18" s="221">
        <f t="shared" si="2"/>
        <v>185.36666666666665</v>
      </c>
      <c r="L18" s="221">
        <f t="shared" si="3"/>
        <v>185.36666666666665</v>
      </c>
    </row>
    <row r="19" spans="1:12" s="205" customFormat="1" ht="26.25" customHeight="1">
      <c r="A19" s="222"/>
      <c r="B19" s="223" t="s">
        <v>125</v>
      </c>
      <c r="C19" s="221">
        <f>'61'!C18</f>
        <v>0</v>
      </c>
      <c r="D19" s="194">
        <f t="shared" si="4"/>
        <v>0</v>
      </c>
      <c r="E19" s="221">
        <f>'61'!D18</f>
        <v>0</v>
      </c>
      <c r="F19" s="221">
        <f t="shared" si="5"/>
        <v>0</v>
      </c>
      <c r="G19" s="221">
        <f>'61'!E18</f>
        <v>0</v>
      </c>
      <c r="H19" s="221">
        <f t="shared" si="6"/>
        <v>0</v>
      </c>
      <c r="I19" s="221"/>
      <c r="J19" s="221"/>
      <c r="K19" s="221"/>
      <c r="L19" s="221"/>
    </row>
    <row r="20" spans="1:12" s="205" customFormat="1" ht="26.25" customHeight="1">
      <c r="A20" s="222"/>
      <c r="B20" s="223" t="s">
        <v>124</v>
      </c>
      <c r="C20" s="221">
        <f>'61'!C19</f>
        <v>0</v>
      </c>
      <c r="D20" s="194">
        <f t="shared" si="4"/>
        <v>0</v>
      </c>
      <c r="E20" s="221">
        <f>'61'!D19</f>
        <v>0</v>
      </c>
      <c r="F20" s="221">
        <f t="shared" si="5"/>
        <v>0</v>
      </c>
      <c r="G20" s="221">
        <f>'61'!E19</f>
        <v>0</v>
      </c>
      <c r="H20" s="221">
        <f t="shared" si="6"/>
        <v>0</v>
      </c>
      <c r="I20" s="221"/>
      <c r="J20" s="221"/>
      <c r="K20" s="221"/>
      <c r="L20" s="221"/>
    </row>
    <row r="21" spans="1:12" s="205" customFormat="1" ht="26.25" customHeight="1">
      <c r="A21" s="219" t="s">
        <v>38</v>
      </c>
      <c r="B21" s="220" t="s">
        <v>199</v>
      </c>
      <c r="C21" s="218">
        <f>'61'!C20</f>
        <v>420000</v>
      </c>
      <c r="D21" s="199">
        <f>SUM(D22:D27)</f>
        <v>420000</v>
      </c>
      <c r="E21" s="218">
        <f t="shared" ref="E21:H21" si="7">SUM(E22:E27)</f>
        <v>550000</v>
      </c>
      <c r="F21" s="218">
        <f t="shared" si="7"/>
        <v>550000</v>
      </c>
      <c r="G21" s="218">
        <f>'61'!E20</f>
        <v>637462</v>
      </c>
      <c r="H21" s="218">
        <f t="shared" si="7"/>
        <v>637462</v>
      </c>
      <c r="I21" s="218">
        <f t="shared" si="0"/>
        <v>151.77666666666667</v>
      </c>
      <c r="J21" s="218">
        <f t="shared" si="1"/>
        <v>151.77666666666667</v>
      </c>
      <c r="K21" s="218">
        <f t="shared" si="2"/>
        <v>115.90218181818182</v>
      </c>
      <c r="L21" s="218">
        <f t="shared" si="3"/>
        <v>115.90218181818182</v>
      </c>
    </row>
    <row r="22" spans="1:12" s="205" customFormat="1" ht="26.25" customHeight="1">
      <c r="A22" s="222"/>
      <c r="B22" s="223" t="s">
        <v>34</v>
      </c>
      <c r="C22" s="221">
        <f>'61'!C21</f>
        <v>240000</v>
      </c>
      <c r="D22" s="194">
        <f>C22</f>
        <v>240000</v>
      </c>
      <c r="E22" s="221">
        <f>'61'!D21</f>
        <v>230950</v>
      </c>
      <c r="F22" s="221">
        <f>E22</f>
        <v>230950</v>
      </c>
      <c r="G22" s="221">
        <f>'61'!E21</f>
        <v>255126</v>
      </c>
      <c r="H22" s="221">
        <f>G22</f>
        <v>255126</v>
      </c>
      <c r="I22" s="221">
        <f t="shared" si="0"/>
        <v>106.30250000000001</v>
      </c>
      <c r="J22" s="221">
        <f t="shared" si="1"/>
        <v>106.30250000000001</v>
      </c>
      <c r="K22" s="221">
        <f t="shared" si="2"/>
        <v>110.46806668109981</v>
      </c>
      <c r="L22" s="221">
        <f t="shared" si="3"/>
        <v>110.46806668109981</v>
      </c>
    </row>
    <row r="23" spans="1:12" s="205" customFormat="1" ht="26.25" customHeight="1">
      <c r="A23" s="222"/>
      <c r="B23" s="223" t="s">
        <v>35</v>
      </c>
      <c r="C23" s="221">
        <f>'61'!C22</f>
        <v>105000</v>
      </c>
      <c r="D23" s="194">
        <f t="shared" ref="D23:D27" si="8">C23</f>
        <v>105000</v>
      </c>
      <c r="E23" s="221">
        <f>'61'!D22</f>
        <v>234050</v>
      </c>
      <c r="F23" s="221">
        <f t="shared" ref="F23:F27" si="9">E23</f>
        <v>234050</v>
      </c>
      <c r="G23" s="221">
        <f>'61'!E22</f>
        <v>262404</v>
      </c>
      <c r="H23" s="221">
        <f t="shared" ref="H23:H27" si="10">G23</f>
        <v>262404</v>
      </c>
      <c r="I23" s="221">
        <f t="shared" si="0"/>
        <v>249.90857142857141</v>
      </c>
      <c r="J23" s="221">
        <f t="shared" si="1"/>
        <v>249.90857142857141</v>
      </c>
      <c r="K23" s="221">
        <f t="shared" si="2"/>
        <v>112.11450544755395</v>
      </c>
      <c r="L23" s="221">
        <f t="shared" si="3"/>
        <v>112.11450544755395</v>
      </c>
    </row>
    <row r="24" spans="1:12" s="205" customFormat="1" ht="26.25" customHeight="1">
      <c r="A24" s="224"/>
      <c r="B24" s="223" t="s">
        <v>123</v>
      </c>
      <c r="C24" s="221">
        <f>'61'!C23</f>
        <v>0</v>
      </c>
      <c r="D24" s="194">
        <f t="shared" si="8"/>
        <v>0</v>
      </c>
      <c r="E24" s="221">
        <f>'61'!D23</f>
        <v>0</v>
      </c>
      <c r="F24" s="221">
        <f t="shared" si="9"/>
        <v>0</v>
      </c>
      <c r="G24" s="221">
        <f>'61'!E23</f>
        <v>0</v>
      </c>
      <c r="H24" s="221">
        <f t="shared" si="10"/>
        <v>0</v>
      </c>
      <c r="I24" s="221"/>
      <c r="J24" s="221"/>
      <c r="K24" s="221"/>
      <c r="L24" s="221"/>
    </row>
    <row r="25" spans="1:12" s="205" customFormat="1" ht="26.25" customHeight="1">
      <c r="A25" s="222"/>
      <c r="B25" s="223" t="s">
        <v>37</v>
      </c>
      <c r="C25" s="221">
        <f>'61'!C24</f>
        <v>75000</v>
      </c>
      <c r="D25" s="194">
        <f t="shared" si="8"/>
        <v>75000</v>
      </c>
      <c r="E25" s="221">
        <f>'61'!D24</f>
        <v>85000</v>
      </c>
      <c r="F25" s="221">
        <f t="shared" si="9"/>
        <v>85000</v>
      </c>
      <c r="G25" s="221">
        <f>'61'!E24</f>
        <v>119932</v>
      </c>
      <c r="H25" s="221">
        <f t="shared" si="10"/>
        <v>119932</v>
      </c>
      <c r="I25" s="221">
        <f t="shared" si="0"/>
        <v>159.90933333333334</v>
      </c>
      <c r="J25" s="221">
        <f t="shared" si="1"/>
        <v>159.90933333333334</v>
      </c>
      <c r="K25" s="221">
        <f t="shared" si="2"/>
        <v>141.09647058823529</v>
      </c>
      <c r="L25" s="221">
        <f t="shared" si="3"/>
        <v>141.09647058823529</v>
      </c>
    </row>
    <row r="26" spans="1:12" s="205" customFormat="1" ht="26.25" customHeight="1">
      <c r="A26" s="222"/>
      <c r="B26" s="223" t="s">
        <v>125</v>
      </c>
      <c r="C26" s="221">
        <f>'61'!C25</f>
        <v>0</v>
      </c>
      <c r="D26" s="194">
        <f t="shared" si="8"/>
        <v>0</v>
      </c>
      <c r="E26" s="221">
        <f>'61'!D25</f>
        <v>0</v>
      </c>
      <c r="F26" s="221">
        <f t="shared" si="9"/>
        <v>0</v>
      </c>
      <c r="G26" s="221">
        <f>'61'!E25</f>
        <v>0</v>
      </c>
      <c r="H26" s="221">
        <f t="shared" si="10"/>
        <v>0</v>
      </c>
      <c r="I26" s="221"/>
      <c r="J26" s="221"/>
      <c r="K26" s="221"/>
      <c r="L26" s="221"/>
    </row>
    <row r="27" spans="1:12" s="205" customFormat="1" ht="26.25" customHeight="1">
      <c r="A27" s="222"/>
      <c r="B27" s="223" t="s">
        <v>124</v>
      </c>
      <c r="C27" s="221">
        <f>'61'!C26</f>
        <v>0</v>
      </c>
      <c r="D27" s="194">
        <f t="shared" si="8"/>
        <v>0</v>
      </c>
      <c r="E27" s="221">
        <f>'61'!D26</f>
        <v>0</v>
      </c>
      <c r="F27" s="221">
        <f t="shared" si="9"/>
        <v>0</v>
      </c>
      <c r="G27" s="221">
        <f>'61'!E26</f>
        <v>0</v>
      </c>
      <c r="H27" s="221">
        <f t="shared" si="10"/>
        <v>0</v>
      </c>
      <c r="I27" s="221"/>
      <c r="J27" s="221"/>
      <c r="K27" s="221"/>
      <c r="L27" s="221"/>
    </row>
    <row r="28" spans="1:12" s="205" customFormat="1" ht="26.25" customHeight="1">
      <c r="A28" s="219" t="s">
        <v>39</v>
      </c>
      <c r="B28" s="220" t="s">
        <v>193</v>
      </c>
      <c r="C28" s="218">
        <f>'61'!C27</f>
        <v>700000</v>
      </c>
      <c r="D28" s="199">
        <f>SUM(D29:D34)</f>
        <v>700000</v>
      </c>
      <c r="E28" s="218">
        <f t="shared" ref="E28:H28" si="11">SUM(E29:E34)</f>
        <v>850000</v>
      </c>
      <c r="F28" s="218">
        <f t="shared" si="11"/>
        <v>850000</v>
      </c>
      <c r="G28" s="218">
        <f>'61'!E27</f>
        <v>761470</v>
      </c>
      <c r="H28" s="218">
        <f t="shared" si="11"/>
        <v>761470</v>
      </c>
      <c r="I28" s="218">
        <f t="shared" si="0"/>
        <v>108.78142857142856</v>
      </c>
      <c r="J28" s="218">
        <f t="shared" si="1"/>
        <v>108.78142857142856</v>
      </c>
      <c r="K28" s="218">
        <f t="shared" si="2"/>
        <v>89.584705882352949</v>
      </c>
      <c r="L28" s="218">
        <f t="shared" si="3"/>
        <v>89.584705882352949</v>
      </c>
    </row>
    <row r="29" spans="1:12" s="205" customFormat="1" ht="26.25" customHeight="1">
      <c r="A29" s="222"/>
      <c r="B29" s="223" t="s">
        <v>34</v>
      </c>
      <c r="C29" s="221">
        <f>'61'!C28</f>
        <v>260000</v>
      </c>
      <c r="D29" s="194">
        <f>C29</f>
        <v>260000</v>
      </c>
      <c r="E29" s="221">
        <f>'61'!D28</f>
        <v>330500</v>
      </c>
      <c r="F29" s="221">
        <f>E29</f>
        <v>330500</v>
      </c>
      <c r="G29" s="221">
        <f>'61'!E28</f>
        <v>250148</v>
      </c>
      <c r="H29" s="221">
        <f>G29</f>
        <v>250148</v>
      </c>
      <c r="I29" s="221">
        <f t="shared" si="0"/>
        <v>96.21076923076923</v>
      </c>
      <c r="J29" s="221">
        <f t="shared" si="1"/>
        <v>96.21076923076923</v>
      </c>
      <c r="K29" s="221">
        <f t="shared" si="2"/>
        <v>75.687745839636904</v>
      </c>
      <c r="L29" s="221">
        <f t="shared" si="3"/>
        <v>75.687745839636904</v>
      </c>
    </row>
    <row r="30" spans="1:12" s="205" customFormat="1" ht="26.25" customHeight="1">
      <c r="A30" s="222"/>
      <c r="B30" s="223" t="s">
        <v>35</v>
      </c>
      <c r="C30" s="221">
        <f>'61'!C29</f>
        <v>439900</v>
      </c>
      <c r="D30" s="194">
        <f t="shared" ref="D30:D34" si="12">C30</f>
        <v>439900</v>
      </c>
      <c r="E30" s="221">
        <f>'61'!D29</f>
        <v>519400</v>
      </c>
      <c r="F30" s="221">
        <f t="shared" ref="F30:F34" si="13">E30</f>
        <v>519400</v>
      </c>
      <c r="G30" s="221">
        <f>'61'!E29</f>
        <v>511267</v>
      </c>
      <c r="H30" s="221">
        <f t="shared" ref="H30:H34" si="14">G30</f>
        <v>511267</v>
      </c>
      <c r="I30" s="221">
        <f t="shared" si="0"/>
        <v>116.22345987724484</v>
      </c>
      <c r="J30" s="221">
        <f t="shared" si="1"/>
        <v>116.22345987724484</v>
      </c>
      <c r="K30" s="221">
        <f t="shared" si="2"/>
        <v>98.434154793993073</v>
      </c>
      <c r="L30" s="221">
        <f t="shared" si="3"/>
        <v>98.434154793993073</v>
      </c>
    </row>
    <row r="31" spans="1:12" s="205" customFormat="1" ht="26.25" customHeight="1">
      <c r="A31" s="224"/>
      <c r="B31" s="223" t="s">
        <v>37</v>
      </c>
      <c r="C31" s="221">
        <f>'61'!C30</f>
        <v>100</v>
      </c>
      <c r="D31" s="194">
        <f t="shared" si="12"/>
        <v>100</v>
      </c>
      <c r="E31" s="221">
        <f>'61'!D30</f>
        <v>100</v>
      </c>
      <c r="F31" s="221">
        <f t="shared" si="13"/>
        <v>100</v>
      </c>
      <c r="G31" s="221">
        <f>'61'!E30</f>
        <v>55</v>
      </c>
      <c r="H31" s="221">
        <f t="shared" si="14"/>
        <v>55</v>
      </c>
      <c r="I31" s="221">
        <f t="shared" si="0"/>
        <v>55.000000000000007</v>
      </c>
      <c r="J31" s="221">
        <f t="shared" si="1"/>
        <v>55.000000000000007</v>
      </c>
      <c r="K31" s="221">
        <f t="shared" si="2"/>
        <v>55.000000000000007</v>
      </c>
      <c r="L31" s="221">
        <f t="shared" si="3"/>
        <v>55.000000000000007</v>
      </c>
    </row>
    <row r="32" spans="1:12" s="205" customFormat="1" ht="26.25" customHeight="1">
      <c r="A32" s="222"/>
      <c r="B32" s="223" t="s">
        <v>40</v>
      </c>
      <c r="C32" s="221">
        <f>'61'!C31</f>
        <v>0</v>
      </c>
      <c r="D32" s="194">
        <f t="shared" si="12"/>
        <v>0</v>
      </c>
      <c r="E32" s="221">
        <f>'61'!D31</f>
        <v>0</v>
      </c>
      <c r="F32" s="221">
        <f t="shared" si="13"/>
        <v>0</v>
      </c>
      <c r="G32" s="221">
        <f>'61'!E31</f>
        <v>0</v>
      </c>
      <c r="H32" s="221">
        <f t="shared" si="14"/>
        <v>0</v>
      </c>
      <c r="I32" s="221"/>
      <c r="J32" s="221"/>
      <c r="K32" s="221"/>
      <c r="L32" s="221"/>
    </row>
    <row r="33" spans="1:12" s="205" customFormat="1" ht="26.25" customHeight="1">
      <c r="A33" s="222"/>
      <c r="B33" s="223" t="s">
        <v>125</v>
      </c>
      <c r="C33" s="221">
        <f>'61'!C32</f>
        <v>0</v>
      </c>
      <c r="D33" s="194">
        <f t="shared" si="12"/>
        <v>0</v>
      </c>
      <c r="E33" s="221">
        <f>'61'!D32</f>
        <v>0</v>
      </c>
      <c r="F33" s="221">
        <f t="shared" si="13"/>
        <v>0</v>
      </c>
      <c r="G33" s="221">
        <f>'61'!E32</f>
        <v>0</v>
      </c>
      <c r="H33" s="221">
        <f t="shared" si="14"/>
        <v>0</v>
      </c>
      <c r="I33" s="221"/>
      <c r="J33" s="221"/>
      <c r="K33" s="221"/>
      <c r="L33" s="221"/>
    </row>
    <row r="34" spans="1:12" s="205" customFormat="1" ht="26.25" customHeight="1">
      <c r="A34" s="222"/>
      <c r="B34" s="223" t="s">
        <v>124</v>
      </c>
      <c r="C34" s="221">
        <f>'61'!C33</f>
        <v>0</v>
      </c>
      <c r="D34" s="194">
        <f t="shared" si="12"/>
        <v>0</v>
      </c>
      <c r="E34" s="221">
        <f>'61'!D33</f>
        <v>0</v>
      </c>
      <c r="F34" s="221">
        <f t="shared" si="13"/>
        <v>0</v>
      </c>
      <c r="G34" s="221">
        <f>'61'!E33</f>
        <v>0</v>
      </c>
      <c r="H34" s="221">
        <f t="shared" si="14"/>
        <v>0</v>
      </c>
      <c r="I34" s="221"/>
      <c r="J34" s="221"/>
      <c r="K34" s="221"/>
      <c r="L34" s="221"/>
    </row>
    <row r="35" spans="1:12" s="205" customFormat="1" ht="26.25" customHeight="1">
      <c r="A35" s="219" t="s">
        <v>39</v>
      </c>
      <c r="B35" s="220" t="s">
        <v>42</v>
      </c>
      <c r="C35" s="218">
        <f>'61'!C34</f>
        <v>1580000</v>
      </c>
      <c r="D35" s="199">
        <f>SUM(D36:D41)</f>
        <v>1580000</v>
      </c>
      <c r="E35" s="218">
        <f t="shared" ref="E35:H35" si="15">SUM(E36:E41)</f>
        <v>1750000</v>
      </c>
      <c r="F35" s="218">
        <f t="shared" si="15"/>
        <v>1750000</v>
      </c>
      <c r="G35" s="218">
        <f>'61'!E34</f>
        <v>1704495</v>
      </c>
      <c r="H35" s="218">
        <f t="shared" si="15"/>
        <v>1704495</v>
      </c>
      <c r="I35" s="218">
        <f t="shared" si="0"/>
        <v>107.87943037974684</v>
      </c>
      <c r="J35" s="218">
        <f t="shared" si="1"/>
        <v>107.87943037974684</v>
      </c>
      <c r="K35" s="218">
        <f t="shared" si="2"/>
        <v>97.399714285714296</v>
      </c>
      <c r="L35" s="218">
        <f t="shared" si="3"/>
        <v>97.399714285714296</v>
      </c>
    </row>
    <row r="36" spans="1:12" s="205" customFormat="1" ht="26.25" customHeight="1">
      <c r="A36" s="222"/>
      <c r="B36" s="223" t="s">
        <v>34</v>
      </c>
      <c r="C36" s="221">
        <f>'61'!C35</f>
        <v>1306000</v>
      </c>
      <c r="D36" s="194">
        <f>C36</f>
        <v>1306000</v>
      </c>
      <c r="E36" s="221">
        <f>'61'!D35</f>
        <v>1415000</v>
      </c>
      <c r="F36" s="221">
        <f>E36</f>
        <v>1415000</v>
      </c>
      <c r="G36" s="221">
        <f>'61'!E35</f>
        <v>1303928</v>
      </c>
      <c r="H36" s="221">
        <f>G36</f>
        <v>1303928</v>
      </c>
      <c r="I36" s="221">
        <f t="shared" si="0"/>
        <v>99.841347626339967</v>
      </c>
      <c r="J36" s="221">
        <f t="shared" si="1"/>
        <v>99.841347626339967</v>
      </c>
      <c r="K36" s="221">
        <f t="shared" si="2"/>
        <v>92.150388692579511</v>
      </c>
      <c r="L36" s="221">
        <f t="shared" si="3"/>
        <v>92.150388692579511</v>
      </c>
    </row>
    <row r="37" spans="1:12" s="205" customFormat="1" ht="26.25" customHeight="1">
      <c r="A37" s="225"/>
      <c r="B37" s="223" t="s">
        <v>35</v>
      </c>
      <c r="C37" s="221">
        <f>'61'!C36</f>
        <v>202000</v>
      </c>
      <c r="D37" s="194">
        <f t="shared" ref="D37:D41" si="16">C37</f>
        <v>202000</v>
      </c>
      <c r="E37" s="221">
        <f>'61'!D36</f>
        <v>270700</v>
      </c>
      <c r="F37" s="221">
        <f t="shared" ref="F37:F42" si="17">E37</f>
        <v>270700</v>
      </c>
      <c r="G37" s="221">
        <f>'61'!E36</f>
        <v>305057</v>
      </c>
      <c r="H37" s="221">
        <f t="shared" ref="H37:H41" si="18">G37</f>
        <v>305057</v>
      </c>
      <c r="I37" s="221">
        <f t="shared" si="0"/>
        <v>151.01831683168317</v>
      </c>
      <c r="J37" s="221">
        <f t="shared" si="1"/>
        <v>151.01831683168317</v>
      </c>
      <c r="K37" s="221">
        <f t="shared" si="2"/>
        <v>112.69190986331732</v>
      </c>
      <c r="L37" s="221">
        <f t="shared" si="3"/>
        <v>112.69190986331732</v>
      </c>
    </row>
    <row r="38" spans="1:12" s="205" customFormat="1" ht="26.25" customHeight="1">
      <c r="A38" s="222"/>
      <c r="B38" s="223" t="s">
        <v>36</v>
      </c>
      <c r="C38" s="221">
        <f>'61'!C37</f>
        <v>2000</v>
      </c>
      <c r="D38" s="194">
        <f t="shared" si="16"/>
        <v>2000</v>
      </c>
      <c r="E38" s="221">
        <f>'61'!D37</f>
        <v>2030</v>
      </c>
      <c r="F38" s="221">
        <f t="shared" si="17"/>
        <v>2030</v>
      </c>
      <c r="G38" s="221">
        <f>'61'!E37</f>
        <v>2492</v>
      </c>
      <c r="H38" s="221">
        <f t="shared" si="18"/>
        <v>2492</v>
      </c>
      <c r="I38" s="221">
        <f t="shared" si="0"/>
        <v>124.6</v>
      </c>
      <c r="J38" s="221">
        <f t="shared" si="1"/>
        <v>124.6</v>
      </c>
      <c r="K38" s="221">
        <f t="shared" si="2"/>
        <v>122.75862068965517</v>
      </c>
      <c r="L38" s="221">
        <f t="shared" si="3"/>
        <v>122.75862068965517</v>
      </c>
    </row>
    <row r="39" spans="1:12" s="205" customFormat="1" ht="26.25" customHeight="1">
      <c r="A39" s="222"/>
      <c r="B39" s="223" t="s">
        <v>125</v>
      </c>
      <c r="C39" s="221">
        <f>'61'!C38</f>
        <v>0</v>
      </c>
      <c r="D39" s="194">
        <f t="shared" si="16"/>
        <v>0</v>
      </c>
      <c r="E39" s="221">
        <f>'61'!D38</f>
        <v>0</v>
      </c>
      <c r="F39" s="221">
        <f t="shared" si="17"/>
        <v>0</v>
      </c>
      <c r="G39" s="221">
        <f>'61'!E38</f>
        <v>0</v>
      </c>
      <c r="H39" s="221">
        <f t="shared" si="18"/>
        <v>0</v>
      </c>
      <c r="I39" s="221"/>
      <c r="J39" s="221"/>
      <c r="K39" s="221"/>
      <c r="L39" s="221"/>
    </row>
    <row r="40" spans="1:12" s="205" customFormat="1" ht="26.25" customHeight="1">
      <c r="A40" s="222"/>
      <c r="B40" s="223" t="s">
        <v>37</v>
      </c>
      <c r="C40" s="221">
        <f>'61'!C39</f>
        <v>70000</v>
      </c>
      <c r="D40" s="194">
        <f t="shared" si="16"/>
        <v>70000</v>
      </c>
      <c r="E40" s="221">
        <f>'61'!D39</f>
        <v>62270</v>
      </c>
      <c r="F40" s="221">
        <f t="shared" si="17"/>
        <v>62270</v>
      </c>
      <c r="G40" s="221">
        <f>'61'!E39</f>
        <v>93018</v>
      </c>
      <c r="H40" s="221">
        <f>G40-'61'!F39</f>
        <v>93018</v>
      </c>
      <c r="I40" s="221">
        <f t="shared" si="0"/>
        <v>132.88285714285715</v>
      </c>
      <c r="J40" s="221">
        <f t="shared" si="1"/>
        <v>132.88285714285715</v>
      </c>
      <c r="K40" s="221">
        <f t="shared" si="2"/>
        <v>149.37851292757347</v>
      </c>
      <c r="L40" s="221">
        <f t="shared" si="3"/>
        <v>149.37851292757347</v>
      </c>
    </row>
    <row r="41" spans="1:12" s="205" customFormat="1" ht="26.25" customHeight="1">
      <c r="A41" s="222"/>
      <c r="B41" s="223" t="s">
        <v>124</v>
      </c>
      <c r="C41" s="221">
        <f>'61'!C40</f>
        <v>0</v>
      </c>
      <c r="D41" s="194">
        <f t="shared" si="16"/>
        <v>0</v>
      </c>
      <c r="E41" s="221">
        <f>'61'!D40</f>
        <v>0</v>
      </c>
      <c r="F41" s="221">
        <f t="shared" si="17"/>
        <v>0</v>
      </c>
      <c r="G41" s="221">
        <f>'61'!E40</f>
        <v>0</v>
      </c>
      <c r="H41" s="221">
        <f t="shared" si="18"/>
        <v>0</v>
      </c>
      <c r="I41" s="221"/>
      <c r="J41" s="221"/>
      <c r="K41" s="221"/>
      <c r="L41" s="221"/>
    </row>
    <row r="42" spans="1:12" s="205" customFormat="1" ht="26.25" customHeight="1">
      <c r="A42" s="219" t="s">
        <v>43</v>
      </c>
      <c r="B42" s="226" t="s">
        <v>44</v>
      </c>
      <c r="C42" s="218">
        <f>'61'!C41</f>
        <v>490000</v>
      </c>
      <c r="D42" s="199">
        <f>C42</f>
        <v>490000</v>
      </c>
      <c r="E42" s="218">
        <f>'61'!D41</f>
        <v>650000</v>
      </c>
      <c r="F42" s="218">
        <f t="shared" si="17"/>
        <v>650000</v>
      </c>
      <c r="G42" s="218">
        <f>'61'!E41</f>
        <v>849434</v>
      </c>
      <c r="H42" s="218">
        <f>G42</f>
        <v>849434</v>
      </c>
      <c r="I42" s="218">
        <f t="shared" si="0"/>
        <v>173.35387755102042</v>
      </c>
      <c r="J42" s="218">
        <f t="shared" si="1"/>
        <v>173.35387755102042</v>
      </c>
      <c r="K42" s="218">
        <f t="shared" si="2"/>
        <v>130.68215384615385</v>
      </c>
      <c r="L42" s="218">
        <f t="shared" si="3"/>
        <v>130.68215384615385</v>
      </c>
    </row>
    <row r="43" spans="1:12" s="205" customFormat="1" ht="26.25" customHeight="1">
      <c r="A43" s="219" t="s">
        <v>45</v>
      </c>
      <c r="B43" s="220" t="s">
        <v>46</v>
      </c>
      <c r="C43" s="218">
        <f>'61'!C42</f>
        <v>0</v>
      </c>
      <c r="D43" s="199">
        <f t="shared" ref="D43:D45" si="19">C43</f>
        <v>0</v>
      </c>
      <c r="E43" s="218">
        <f>'61'!D42</f>
        <v>0</v>
      </c>
      <c r="F43" s="218"/>
      <c r="G43" s="218">
        <f>'61'!E42</f>
        <v>0</v>
      </c>
      <c r="H43" s="218">
        <f>G43</f>
        <v>0</v>
      </c>
      <c r="I43" s="218"/>
      <c r="J43" s="218"/>
      <c r="K43" s="218"/>
      <c r="L43" s="218"/>
    </row>
    <row r="44" spans="1:12" s="205" customFormat="1" ht="26.25" customHeight="1">
      <c r="A44" s="219" t="s">
        <v>47</v>
      </c>
      <c r="B44" s="220" t="s">
        <v>48</v>
      </c>
      <c r="C44" s="218">
        <f>'61'!C43</f>
        <v>8000</v>
      </c>
      <c r="D44" s="199">
        <f t="shared" si="19"/>
        <v>8000</v>
      </c>
      <c r="E44" s="218">
        <f>'61'!D43</f>
        <v>8000</v>
      </c>
      <c r="F44" s="218">
        <f>E44</f>
        <v>8000</v>
      </c>
      <c r="G44" s="218">
        <f>'61'!E43</f>
        <v>12275</v>
      </c>
      <c r="H44" s="218">
        <f t="shared" ref="H44:H45" si="20">G44</f>
        <v>12275</v>
      </c>
      <c r="I44" s="218">
        <f t="shared" si="0"/>
        <v>153.4375</v>
      </c>
      <c r="J44" s="218">
        <f t="shared" si="1"/>
        <v>153.4375</v>
      </c>
      <c r="K44" s="218">
        <f t="shared" si="2"/>
        <v>153.4375</v>
      </c>
      <c r="L44" s="218">
        <f t="shared" si="3"/>
        <v>153.4375</v>
      </c>
    </row>
    <row r="45" spans="1:12" s="205" customFormat="1" ht="26.25" customHeight="1">
      <c r="A45" s="219" t="s">
        <v>49</v>
      </c>
      <c r="B45" s="220" t="s">
        <v>50</v>
      </c>
      <c r="C45" s="218">
        <f>'61'!C44</f>
        <v>600000</v>
      </c>
      <c r="D45" s="199">
        <f t="shared" si="19"/>
        <v>600000</v>
      </c>
      <c r="E45" s="218">
        <f>'61'!D44</f>
        <v>910000</v>
      </c>
      <c r="F45" s="218">
        <f>E45</f>
        <v>910000</v>
      </c>
      <c r="G45" s="218">
        <f>'61'!E44</f>
        <v>1493751</v>
      </c>
      <c r="H45" s="218">
        <f t="shared" si="20"/>
        <v>1493751</v>
      </c>
      <c r="I45" s="218">
        <f t="shared" si="0"/>
        <v>248.95849999999999</v>
      </c>
      <c r="J45" s="218">
        <f t="shared" si="1"/>
        <v>248.95849999999999</v>
      </c>
      <c r="K45" s="218">
        <f t="shared" si="2"/>
        <v>164.14846153846153</v>
      </c>
      <c r="L45" s="218">
        <f t="shared" si="3"/>
        <v>164.14846153846153</v>
      </c>
    </row>
    <row r="46" spans="1:12" s="205" customFormat="1" ht="26.25" customHeight="1">
      <c r="A46" s="219" t="s">
        <v>51</v>
      </c>
      <c r="B46" s="220" t="s">
        <v>52</v>
      </c>
      <c r="C46" s="218">
        <f>'61'!C45</f>
        <v>210000</v>
      </c>
      <c r="D46" s="199">
        <f>D47+D48</f>
        <v>100800</v>
      </c>
      <c r="E46" s="218">
        <f>'61'!D45</f>
        <v>170000</v>
      </c>
      <c r="F46" s="218">
        <f>F47+F48</f>
        <v>81600</v>
      </c>
      <c r="G46" s="218">
        <f>'61'!E45</f>
        <v>148850</v>
      </c>
      <c r="H46" s="218">
        <f>'61'!G45</f>
        <v>71448</v>
      </c>
      <c r="I46" s="218">
        <f t="shared" si="0"/>
        <v>70.88095238095238</v>
      </c>
      <c r="J46" s="218">
        <f t="shared" si="1"/>
        <v>70.88095238095238</v>
      </c>
      <c r="K46" s="218">
        <f t="shared" si="2"/>
        <v>87.558823529411768</v>
      </c>
      <c r="L46" s="218">
        <f t="shared" si="3"/>
        <v>87.558823529411768</v>
      </c>
    </row>
    <row r="47" spans="1:12" s="205" customFormat="1" ht="26.25" customHeight="1">
      <c r="A47" s="225"/>
      <c r="B47" s="227" t="s">
        <v>202</v>
      </c>
      <c r="C47" s="221">
        <f>'61'!C46</f>
        <v>109200</v>
      </c>
      <c r="D47" s="194"/>
      <c r="E47" s="221">
        <f>'61'!D46</f>
        <v>88400</v>
      </c>
      <c r="F47" s="221"/>
      <c r="G47" s="221">
        <f>'61'!E46</f>
        <v>0</v>
      </c>
      <c r="H47" s="221"/>
      <c r="I47" s="221"/>
      <c r="J47" s="221"/>
      <c r="K47" s="221"/>
      <c r="L47" s="221"/>
    </row>
    <row r="48" spans="1:12" s="205" customFormat="1" ht="26.25" customHeight="1">
      <c r="A48" s="225"/>
      <c r="B48" s="227" t="s">
        <v>53</v>
      </c>
      <c r="C48" s="221">
        <f>'61'!C47</f>
        <v>100800</v>
      </c>
      <c r="D48" s="194">
        <f>+C48</f>
        <v>100800</v>
      </c>
      <c r="E48" s="221">
        <f>'61'!D47</f>
        <v>81600</v>
      </c>
      <c r="F48" s="221">
        <f>+E48</f>
        <v>81600</v>
      </c>
      <c r="G48" s="221">
        <f>'61'!E47</f>
        <v>71448</v>
      </c>
      <c r="H48" s="221"/>
      <c r="I48" s="221"/>
      <c r="J48" s="221"/>
      <c r="K48" s="221"/>
      <c r="L48" s="221">
        <f t="shared" si="3"/>
        <v>0</v>
      </c>
    </row>
    <row r="49" spans="1:13" s="205" customFormat="1" ht="26.25" customHeight="1">
      <c r="A49" s="219" t="s">
        <v>191</v>
      </c>
      <c r="B49" s="220" t="s">
        <v>54</v>
      </c>
      <c r="C49" s="218">
        <f>'61'!C48</f>
        <v>134000</v>
      </c>
      <c r="D49" s="199">
        <f>SUM(D50:D51)</f>
        <v>99000</v>
      </c>
      <c r="E49" s="218">
        <f>'61'!D48</f>
        <v>134000</v>
      </c>
      <c r="F49" s="218">
        <f>+E49</f>
        <v>134000</v>
      </c>
      <c r="G49" s="218">
        <f>'61'!E48</f>
        <v>144427</v>
      </c>
      <c r="H49" s="218">
        <f>'61'!E48-'61'!F48</f>
        <v>109163</v>
      </c>
      <c r="I49" s="218">
        <f t="shared" si="0"/>
        <v>107.78134328358209</v>
      </c>
      <c r="J49" s="218">
        <f t="shared" si="1"/>
        <v>110.26565656565657</v>
      </c>
      <c r="K49" s="218">
        <f t="shared" si="2"/>
        <v>107.78134328358209</v>
      </c>
      <c r="L49" s="218">
        <f t="shared" si="3"/>
        <v>81.464925373134335</v>
      </c>
    </row>
    <row r="50" spans="1:13" s="205" customFormat="1" ht="26.25" customHeight="1">
      <c r="A50" s="228"/>
      <c r="B50" s="227" t="s">
        <v>55</v>
      </c>
      <c r="C50" s="221">
        <f>'61'!C49</f>
        <v>0</v>
      </c>
      <c r="D50" s="194"/>
      <c r="E50" s="221">
        <f>'61'!D49</f>
        <v>0</v>
      </c>
      <c r="F50" s="221"/>
      <c r="G50" s="221">
        <f>'61'!E49</f>
        <v>35264</v>
      </c>
      <c r="H50" s="221"/>
      <c r="I50" s="221"/>
      <c r="J50" s="221"/>
      <c r="K50" s="221"/>
      <c r="L50" s="221"/>
      <c r="M50" s="702"/>
    </row>
    <row r="51" spans="1:13" s="205" customFormat="1" ht="26.25" customHeight="1">
      <c r="A51" s="222"/>
      <c r="B51" s="227" t="s">
        <v>183</v>
      </c>
      <c r="C51" s="221">
        <f>'61'!C50</f>
        <v>0</v>
      </c>
      <c r="D51" s="194">
        <v>99000</v>
      </c>
      <c r="E51" s="221">
        <f>'61'!D50</f>
        <v>0</v>
      </c>
      <c r="F51" s="221"/>
      <c r="G51" s="221">
        <f>'61'!E50</f>
        <v>109163</v>
      </c>
      <c r="H51" s="221"/>
      <c r="I51" s="221"/>
      <c r="J51" s="221">
        <f t="shared" si="1"/>
        <v>0</v>
      </c>
      <c r="K51" s="221"/>
      <c r="L51" s="221"/>
    </row>
    <row r="52" spans="1:13" s="205" customFormat="1" ht="26.25" customHeight="1">
      <c r="A52" s="222"/>
      <c r="B52" s="227" t="s">
        <v>56</v>
      </c>
      <c r="C52" s="221">
        <f>'61'!C51</f>
        <v>0</v>
      </c>
      <c r="D52" s="194"/>
      <c r="E52" s="221">
        <f>'61'!D51</f>
        <v>0</v>
      </c>
      <c r="F52" s="221"/>
      <c r="G52" s="221">
        <f>'61'!E51</f>
        <v>0</v>
      </c>
      <c r="H52" s="221"/>
      <c r="I52" s="221"/>
      <c r="J52" s="221"/>
      <c r="K52" s="221"/>
      <c r="L52" s="221"/>
    </row>
    <row r="53" spans="1:13" s="205" customFormat="1" ht="26.25" customHeight="1">
      <c r="A53" s="219" t="s">
        <v>57</v>
      </c>
      <c r="B53" s="229" t="s">
        <v>58</v>
      </c>
      <c r="C53" s="218">
        <f>'61'!C52</f>
        <v>4700000</v>
      </c>
      <c r="D53" s="199">
        <f>SUM(D54:D55)</f>
        <v>4700000</v>
      </c>
      <c r="E53" s="218">
        <f>'61'!D52</f>
        <v>5400000</v>
      </c>
      <c r="F53" s="218">
        <f>F55</f>
        <v>5400000</v>
      </c>
      <c r="G53" s="218">
        <f>'61'!E52</f>
        <v>4106899</v>
      </c>
      <c r="H53" s="218">
        <f>G53</f>
        <v>4106899</v>
      </c>
      <c r="I53" s="218">
        <f t="shared" si="0"/>
        <v>87.380829787234035</v>
      </c>
      <c r="J53" s="218">
        <f t="shared" si="1"/>
        <v>87.380829787234035</v>
      </c>
      <c r="K53" s="218">
        <f t="shared" si="2"/>
        <v>76.053685185185188</v>
      </c>
      <c r="L53" s="218">
        <f t="shared" si="3"/>
        <v>76.053685185185188</v>
      </c>
    </row>
    <row r="54" spans="1:13" s="205" customFormat="1" ht="26.25" customHeight="1">
      <c r="A54" s="225"/>
      <c r="B54" s="230" t="s">
        <v>195</v>
      </c>
      <c r="C54" s="221">
        <f>'61'!C53</f>
        <v>0</v>
      </c>
      <c r="D54" s="194"/>
      <c r="E54" s="221">
        <f>'61'!D53</f>
        <v>0</v>
      </c>
      <c r="F54" s="221"/>
      <c r="G54" s="221">
        <f>'61'!E53</f>
        <v>0</v>
      </c>
      <c r="H54" s="221"/>
      <c r="I54" s="221"/>
      <c r="J54" s="221"/>
      <c r="K54" s="221"/>
      <c r="L54" s="221"/>
    </row>
    <row r="55" spans="1:13" s="205" customFormat="1" ht="26.25" customHeight="1">
      <c r="A55" s="222"/>
      <c r="B55" s="230" t="s">
        <v>59</v>
      </c>
      <c r="C55" s="221">
        <f>'61'!C54</f>
        <v>4700000</v>
      </c>
      <c r="D55" s="194">
        <f>C55</f>
        <v>4700000</v>
      </c>
      <c r="E55" s="221">
        <f>'61'!D54</f>
        <v>5400000</v>
      </c>
      <c r="F55" s="221">
        <f>E55</f>
        <v>5400000</v>
      </c>
      <c r="G55" s="221">
        <f>'61'!E54</f>
        <v>4106899</v>
      </c>
      <c r="H55" s="221"/>
      <c r="I55" s="221">
        <f t="shared" si="0"/>
        <v>87.380829787234035</v>
      </c>
      <c r="J55" s="221">
        <f t="shared" si="1"/>
        <v>0</v>
      </c>
      <c r="K55" s="221">
        <f t="shared" si="2"/>
        <v>76.053685185185188</v>
      </c>
      <c r="L55" s="221">
        <f t="shared" si="3"/>
        <v>0</v>
      </c>
    </row>
    <row r="56" spans="1:13" s="205" customFormat="1" ht="26.25" customHeight="1">
      <c r="A56" s="219" t="s">
        <v>60</v>
      </c>
      <c r="B56" s="220" t="s">
        <v>61</v>
      </c>
      <c r="C56" s="218">
        <f>'61'!C55</f>
        <v>606000</v>
      </c>
      <c r="D56" s="199">
        <f t="shared" ref="D56" si="21">C56</f>
        <v>606000</v>
      </c>
      <c r="E56" s="218">
        <f>'61'!D55</f>
        <v>1030000</v>
      </c>
      <c r="F56" s="218">
        <f t="shared" ref="F56" si="22">E56</f>
        <v>1030000</v>
      </c>
      <c r="G56" s="218">
        <f>'61'!E55</f>
        <v>1408999</v>
      </c>
      <c r="H56" s="218">
        <f>G56</f>
        <v>1408999</v>
      </c>
      <c r="I56" s="218">
        <f t="shared" si="0"/>
        <v>232.50808580858086</v>
      </c>
      <c r="J56" s="218">
        <f t="shared" si="1"/>
        <v>232.50808580858086</v>
      </c>
      <c r="K56" s="218">
        <f t="shared" si="2"/>
        <v>136.79601941747572</v>
      </c>
      <c r="L56" s="218">
        <f t="shared" si="3"/>
        <v>136.79601941747572</v>
      </c>
    </row>
    <row r="57" spans="1:13" s="205" customFormat="1" ht="26.25" customHeight="1">
      <c r="A57" s="219" t="s">
        <v>62</v>
      </c>
      <c r="B57" s="220" t="s">
        <v>66</v>
      </c>
      <c r="C57" s="218">
        <f>'61'!C56</f>
        <v>210000</v>
      </c>
      <c r="D57" s="199">
        <v>106000</v>
      </c>
      <c r="E57" s="218">
        <f>'61'!D56</f>
        <v>210000</v>
      </c>
      <c r="F57" s="218">
        <v>178570</v>
      </c>
      <c r="G57" s="218">
        <f>'61'!E56</f>
        <v>325837.59999999998</v>
      </c>
      <c r="H57" s="218">
        <f>'61'!E56-'61'!F56</f>
        <v>179227.59999999998</v>
      </c>
      <c r="I57" s="218">
        <f t="shared" si="0"/>
        <v>155.1607619047619</v>
      </c>
      <c r="J57" s="218">
        <f t="shared" si="1"/>
        <v>169.08264150943396</v>
      </c>
      <c r="K57" s="218">
        <f t="shared" si="2"/>
        <v>155.1607619047619</v>
      </c>
      <c r="L57" s="218">
        <f t="shared" si="3"/>
        <v>100.36825894607155</v>
      </c>
    </row>
    <row r="58" spans="1:13" s="205" customFormat="1" ht="26.25" customHeight="1">
      <c r="A58" s="225"/>
      <c r="B58" s="227" t="s">
        <v>198</v>
      </c>
      <c r="C58" s="221">
        <v>31430</v>
      </c>
      <c r="D58" s="194"/>
      <c r="E58" s="221">
        <f>'61'!D57</f>
        <v>0</v>
      </c>
      <c r="F58" s="221"/>
      <c r="G58" s="221">
        <f>'61'!E57</f>
        <v>0</v>
      </c>
      <c r="H58" s="221"/>
      <c r="I58" s="221">
        <f t="shared" si="0"/>
        <v>0</v>
      </c>
      <c r="J58" s="221"/>
      <c r="K58" s="221"/>
      <c r="L58" s="221"/>
    </row>
    <row r="59" spans="1:13" s="205" customFormat="1" ht="26.25" customHeight="1">
      <c r="A59" s="219" t="s">
        <v>63</v>
      </c>
      <c r="B59" s="220" t="s">
        <v>67</v>
      </c>
      <c r="C59" s="480">
        <f>'61'!C58</f>
        <v>62000</v>
      </c>
      <c r="D59" s="485">
        <f>15550+46450*0.3</f>
        <v>29485</v>
      </c>
      <c r="E59" s="218">
        <f>'61'!D58</f>
        <v>78000</v>
      </c>
      <c r="F59" s="480">
        <f>+E59</f>
        <v>78000</v>
      </c>
      <c r="G59" s="218">
        <f>'61'!E58</f>
        <v>89920</v>
      </c>
      <c r="H59" s="218">
        <f>'61'!E58-'61'!F58</f>
        <v>54704</v>
      </c>
      <c r="I59" s="218">
        <f t="shared" si="0"/>
        <v>145.03225806451613</v>
      </c>
      <c r="J59" s="218">
        <f t="shared" si="1"/>
        <v>185.5316262506359</v>
      </c>
      <c r="K59" s="218">
        <f t="shared" si="2"/>
        <v>115.28205128205128</v>
      </c>
      <c r="L59" s="218">
        <f t="shared" si="3"/>
        <v>70.13333333333334</v>
      </c>
    </row>
    <row r="60" spans="1:13" s="205" customFormat="1" ht="26.25" customHeight="1">
      <c r="A60" s="219" t="s">
        <v>64</v>
      </c>
      <c r="B60" s="220" t="s">
        <v>68</v>
      </c>
      <c r="C60" s="218">
        <f>'61'!C59</f>
        <v>0</v>
      </c>
      <c r="D60" s="199">
        <f>C60</f>
        <v>0</v>
      </c>
      <c r="E60" s="218">
        <f>'61'!D59</f>
        <v>0</v>
      </c>
      <c r="F60" s="218">
        <f>E60</f>
        <v>0</v>
      </c>
      <c r="G60" s="218">
        <f>'61'!E59</f>
        <v>368</v>
      </c>
      <c r="H60" s="218">
        <f>G60</f>
        <v>368</v>
      </c>
      <c r="I60" s="218"/>
      <c r="J60" s="218"/>
      <c r="K60" s="218"/>
      <c r="L60" s="218"/>
    </row>
    <row r="61" spans="1:13" s="205" customFormat="1" ht="26.25" customHeight="1">
      <c r="A61" s="219" t="s">
        <v>65</v>
      </c>
      <c r="B61" s="220" t="s">
        <v>69</v>
      </c>
      <c r="C61" s="218">
        <f>'61'!C60</f>
        <v>10000</v>
      </c>
      <c r="D61" s="199">
        <f t="shared" ref="D61:D62" si="23">C61</f>
        <v>10000</v>
      </c>
      <c r="E61" s="218">
        <f>'61'!D60</f>
        <v>10000</v>
      </c>
      <c r="F61" s="218">
        <f t="shared" ref="F61:F62" si="24">E61</f>
        <v>10000</v>
      </c>
      <c r="G61" s="218">
        <f>'61'!E60</f>
        <v>11642</v>
      </c>
      <c r="H61" s="218">
        <f>G61</f>
        <v>11642</v>
      </c>
      <c r="I61" s="218">
        <f t="shared" si="0"/>
        <v>116.41999999999999</v>
      </c>
      <c r="J61" s="218">
        <f t="shared" si="1"/>
        <v>116.41999999999999</v>
      </c>
      <c r="K61" s="218">
        <f t="shared" si="2"/>
        <v>116.41999999999999</v>
      </c>
      <c r="L61" s="218">
        <f t="shared" si="3"/>
        <v>116.41999999999999</v>
      </c>
    </row>
    <row r="62" spans="1:13" s="205" customFormat="1" ht="26.25" customHeight="1">
      <c r="A62" s="219" t="s">
        <v>201</v>
      </c>
      <c r="B62" s="220" t="s">
        <v>70</v>
      </c>
      <c r="C62" s="218">
        <f>'61'!C61</f>
        <v>820000</v>
      </c>
      <c r="D62" s="199">
        <f t="shared" si="23"/>
        <v>820000</v>
      </c>
      <c r="E62" s="218">
        <f>'61'!D61</f>
        <v>850000</v>
      </c>
      <c r="F62" s="218">
        <f t="shared" si="24"/>
        <v>850000</v>
      </c>
      <c r="G62" s="218">
        <f>'61'!E61</f>
        <v>962895.6</v>
      </c>
      <c r="H62" s="218">
        <f>G62</f>
        <v>962895.6</v>
      </c>
      <c r="I62" s="218">
        <f t="shared" si="0"/>
        <v>117.42629268292684</v>
      </c>
      <c r="J62" s="218">
        <f t="shared" si="1"/>
        <v>117.42629268292684</v>
      </c>
      <c r="K62" s="218">
        <f t="shared" si="2"/>
        <v>113.28183529411764</v>
      </c>
      <c r="L62" s="218">
        <f t="shared" si="3"/>
        <v>113.28183529411764</v>
      </c>
    </row>
    <row r="63" spans="1:13" s="205" customFormat="1" ht="26.25" customHeight="1">
      <c r="A63" s="231" t="s">
        <v>73</v>
      </c>
      <c r="B63" s="232" t="s">
        <v>74</v>
      </c>
      <c r="C63" s="218">
        <f>'61'!C62</f>
        <v>1150000</v>
      </c>
      <c r="D63" s="199">
        <f>SUM(D64:D69)</f>
        <v>0</v>
      </c>
      <c r="E63" s="218">
        <f>'61'!D62</f>
        <v>1150000</v>
      </c>
      <c r="F63" s="218"/>
      <c r="G63" s="218">
        <f>'61'!E62</f>
        <v>1044030</v>
      </c>
      <c r="H63" s="218"/>
      <c r="I63" s="218">
        <f t="shared" si="0"/>
        <v>90.785217391304357</v>
      </c>
      <c r="J63" s="218"/>
      <c r="K63" s="218">
        <f t="shared" si="2"/>
        <v>90.785217391304357</v>
      </c>
      <c r="L63" s="218"/>
    </row>
    <row r="64" spans="1:13" s="205" customFormat="1" ht="26.25" customHeight="1">
      <c r="A64" s="233">
        <v>1</v>
      </c>
      <c r="B64" s="234" t="s">
        <v>75</v>
      </c>
      <c r="C64" s="221">
        <f>'61'!C63</f>
        <v>105000</v>
      </c>
      <c r="D64" s="194"/>
      <c r="E64" s="221">
        <f>'61'!D63</f>
        <v>105000</v>
      </c>
      <c r="F64" s="221"/>
      <c r="G64" s="221">
        <f>'61'!E63</f>
        <v>78320</v>
      </c>
      <c r="H64" s="221"/>
      <c r="I64" s="221">
        <f t="shared" si="0"/>
        <v>74.590476190476195</v>
      </c>
      <c r="J64" s="221"/>
      <c r="K64" s="221">
        <f t="shared" si="2"/>
        <v>74.590476190476195</v>
      </c>
      <c r="L64" s="221"/>
    </row>
    <row r="65" spans="1:12" s="205" customFormat="1" ht="26.25" customHeight="1">
      <c r="A65" s="233">
        <v>2</v>
      </c>
      <c r="B65" s="234" t="s">
        <v>76</v>
      </c>
      <c r="C65" s="221">
        <f>'61'!C64</f>
        <v>140000</v>
      </c>
      <c r="D65" s="194"/>
      <c r="E65" s="221">
        <f>'61'!D64</f>
        <v>140000</v>
      </c>
      <c r="F65" s="221"/>
      <c r="G65" s="221">
        <f>'61'!E64</f>
        <v>136685</v>
      </c>
      <c r="H65" s="221"/>
      <c r="I65" s="221">
        <f t="shared" si="0"/>
        <v>97.632142857142853</v>
      </c>
      <c r="J65" s="221"/>
      <c r="K65" s="221">
        <f t="shared" si="2"/>
        <v>97.632142857142853</v>
      </c>
      <c r="L65" s="221"/>
    </row>
    <row r="66" spans="1:12" s="205" customFormat="1" ht="26.25" customHeight="1">
      <c r="A66" s="233">
        <v>3</v>
      </c>
      <c r="B66" s="234" t="s">
        <v>177</v>
      </c>
      <c r="C66" s="221">
        <f>'61'!C65</f>
        <v>809400</v>
      </c>
      <c r="D66" s="194"/>
      <c r="E66" s="221">
        <f>'61'!D65</f>
        <v>809400</v>
      </c>
      <c r="F66" s="221"/>
      <c r="G66" s="221">
        <f>'61'!E65</f>
        <v>819147</v>
      </c>
      <c r="H66" s="221"/>
      <c r="I66" s="221">
        <f t="shared" si="0"/>
        <v>101.20422535211269</v>
      </c>
      <c r="J66" s="221"/>
      <c r="K66" s="221">
        <f t="shared" si="2"/>
        <v>101.20422535211269</v>
      </c>
      <c r="L66" s="221"/>
    </row>
    <row r="67" spans="1:12" s="205" customFormat="1" ht="26.25" customHeight="1">
      <c r="A67" s="233">
        <v>4</v>
      </c>
      <c r="B67" s="234" t="s">
        <v>77</v>
      </c>
      <c r="C67" s="221">
        <f>'61'!C66</f>
        <v>200</v>
      </c>
      <c r="D67" s="194"/>
      <c r="E67" s="221">
        <f>'61'!D66</f>
        <v>200</v>
      </c>
      <c r="F67" s="221"/>
      <c r="G67" s="221">
        <f>'61'!E66</f>
        <v>624</v>
      </c>
      <c r="H67" s="221"/>
      <c r="I67" s="221"/>
      <c r="J67" s="221"/>
      <c r="K67" s="221"/>
      <c r="L67" s="221"/>
    </row>
    <row r="68" spans="1:12" s="205" customFormat="1" ht="26.25" customHeight="1">
      <c r="A68" s="233">
        <v>5</v>
      </c>
      <c r="B68" s="234" t="s">
        <v>78</v>
      </c>
      <c r="C68" s="221">
        <f>'61'!C67</f>
        <v>95400</v>
      </c>
      <c r="D68" s="194"/>
      <c r="E68" s="221">
        <f>'61'!D67</f>
        <v>95400</v>
      </c>
      <c r="F68" s="221"/>
      <c r="G68" s="221">
        <f>'61'!E67</f>
        <v>1139</v>
      </c>
      <c r="H68" s="221"/>
      <c r="I68" s="221"/>
      <c r="J68" s="221"/>
      <c r="K68" s="221"/>
      <c r="L68" s="221"/>
    </row>
    <row r="69" spans="1:12" s="205" customFormat="1" ht="26.25" customHeight="1">
      <c r="A69" s="233">
        <v>6</v>
      </c>
      <c r="B69" s="234" t="s">
        <v>72</v>
      </c>
      <c r="C69" s="221">
        <f>'61'!C68</f>
        <v>0</v>
      </c>
      <c r="D69" s="194"/>
      <c r="E69" s="221">
        <f>'61'!D68</f>
        <v>0</v>
      </c>
      <c r="F69" s="221"/>
      <c r="G69" s="221">
        <f>'61'!E68</f>
        <v>4396</v>
      </c>
      <c r="H69" s="221"/>
      <c r="I69" s="221"/>
      <c r="J69" s="221"/>
      <c r="K69" s="221"/>
      <c r="L69" s="221"/>
    </row>
    <row r="70" spans="1:12" s="205" customFormat="1" ht="26.25" customHeight="1">
      <c r="A70" s="231" t="s">
        <v>79</v>
      </c>
      <c r="B70" s="217" t="s">
        <v>131</v>
      </c>
      <c r="C70" s="221">
        <f>'61'!C70</f>
        <v>0</v>
      </c>
      <c r="D70" s="194"/>
      <c r="E70" s="221">
        <f>'61'!D70</f>
        <v>0</v>
      </c>
      <c r="F70" s="221">
        <f>'61'!D70</f>
        <v>0</v>
      </c>
      <c r="G70" s="221">
        <f>'61'!E70</f>
        <v>0</v>
      </c>
      <c r="H70" s="221"/>
      <c r="I70" s="221"/>
      <c r="J70" s="221"/>
      <c r="K70" s="221"/>
      <c r="L70" s="221"/>
    </row>
    <row r="71" spans="1:12" s="205" customFormat="1" ht="26.25" customHeight="1">
      <c r="A71" s="231" t="s">
        <v>80</v>
      </c>
      <c r="B71" s="235" t="s">
        <v>189</v>
      </c>
      <c r="C71" s="221">
        <f>'61'!C71</f>
        <v>0</v>
      </c>
      <c r="D71" s="194">
        <f>SUM(D72:D73)</f>
        <v>0</v>
      </c>
      <c r="E71" s="221">
        <f>'61'!D71</f>
        <v>0</v>
      </c>
      <c r="F71" s="221">
        <f>E71</f>
        <v>0</v>
      </c>
      <c r="G71" s="221">
        <f>'61'!E71</f>
        <v>9226</v>
      </c>
      <c r="H71" s="221">
        <f>SUM(H72:H73)</f>
        <v>9226</v>
      </c>
      <c r="I71" s="221"/>
      <c r="J71" s="221"/>
      <c r="K71" s="221"/>
      <c r="L71" s="221"/>
    </row>
    <row r="72" spans="1:12" s="205" customFormat="1" ht="26.25" customHeight="1">
      <c r="A72" s="233">
        <v>1</v>
      </c>
      <c r="B72" s="236" t="s">
        <v>190</v>
      </c>
      <c r="C72" s="221">
        <f>'61'!C72</f>
        <v>0</v>
      </c>
      <c r="D72" s="194"/>
      <c r="E72" s="221">
        <f>'61'!D72</f>
        <v>0</v>
      </c>
      <c r="F72" s="221">
        <f>E72</f>
        <v>0</v>
      </c>
      <c r="G72" s="221">
        <f>'61'!E72</f>
        <v>9226</v>
      </c>
      <c r="H72" s="221">
        <f>G72</f>
        <v>9226</v>
      </c>
      <c r="I72" s="221"/>
      <c r="J72" s="221"/>
      <c r="K72" s="221"/>
      <c r="L72" s="221"/>
    </row>
    <row r="73" spans="1:12" s="205" customFormat="1" ht="26.25" customHeight="1">
      <c r="A73" s="233">
        <v>2</v>
      </c>
      <c r="B73" s="236" t="s">
        <v>207</v>
      </c>
      <c r="C73" s="221">
        <f>'61'!C73</f>
        <v>0</v>
      </c>
      <c r="D73" s="194"/>
      <c r="E73" s="221">
        <f>'61'!D73</f>
        <v>0</v>
      </c>
      <c r="F73" s="221"/>
      <c r="G73" s="221">
        <f>'61'!E73</f>
        <v>0</v>
      </c>
      <c r="H73" s="221">
        <f>G73</f>
        <v>0</v>
      </c>
      <c r="I73" s="221"/>
      <c r="J73" s="221"/>
      <c r="K73" s="221"/>
      <c r="L73" s="221"/>
    </row>
    <row r="74" spans="1:12" s="205" customFormat="1" ht="26.25" customHeight="1">
      <c r="A74" s="231" t="s">
        <v>2</v>
      </c>
      <c r="B74" s="237" t="s">
        <v>85</v>
      </c>
      <c r="C74" s="218">
        <f>'61'!C74</f>
        <v>0</v>
      </c>
      <c r="D74" s="199">
        <f>D75+D78</f>
        <v>62300</v>
      </c>
      <c r="E74" s="218">
        <f>'61'!D74</f>
        <v>0</v>
      </c>
      <c r="F74" s="218"/>
      <c r="G74" s="218">
        <f>'61'!E74</f>
        <v>63128</v>
      </c>
      <c r="H74" s="218">
        <f>H75+H78</f>
        <v>63128</v>
      </c>
      <c r="I74" s="218"/>
      <c r="J74" s="218"/>
      <c r="K74" s="218"/>
      <c r="L74" s="218"/>
    </row>
    <row r="75" spans="1:12" s="205" customFormat="1" ht="26.25" customHeight="1">
      <c r="A75" s="231" t="s">
        <v>86</v>
      </c>
      <c r="B75" s="238" t="s">
        <v>184</v>
      </c>
      <c r="C75" s="221">
        <f>'61'!C75</f>
        <v>0</v>
      </c>
      <c r="D75" s="194">
        <f>D76</f>
        <v>62300</v>
      </c>
      <c r="E75" s="221">
        <f>'61'!D75</f>
        <v>0</v>
      </c>
      <c r="F75" s="221"/>
      <c r="G75" s="221">
        <f>'61'!E75</f>
        <v>63128</v>
      </c>
      <c r="H75" s="221">
        <f>G75</f>
        <v>63128</v>
      </c>
      <c r="I75" s="221"/>
      <c r="J75" s="221"/>
      <c r="K75" s="221"/>
      <c r="L75" s="221"/>
    </row>
    <row r="76" spans="1:12" s="205" customFormat="1" ht="26.25" customHeight="1">
      <c r="A76" s="233">
        <v>1</v>
      </c>
      <c r="B76" s="236" t="s">
        <v>87</v>
      </c>
      <c r="C76" s="221">
        <f>'61'!C76</f>
        <v>0</v>
      </c>
      <c r="D76" s="194">
        <v>62300</v>
      </c>
      <c r="E76" s="221">
        <f>'61'!D76</f>
        <v>0</v>
      </c>
      <c r="F76" s="221"/>
      <c r="G76" s="221">
        <f>'61'!E76</f>
        <v>63128</v>
      </c>
      <c r="H76" s="221">
        <f>+G76</f>
        <v>63128</v>
      </c>
      <c r="I76" s="221"/>
      <c r="J76" s="221"/>
      <c r="K76" s="221"/>
      <c r="L76" s="221"/>
    </row>
    <row r="77" spans="1:12" s="205" customFormat="1" ht="26.25" customHeight="1">
      <c r="A77" s="233">
        <f>A76+1</f>
        <v>2</v>
      </c>
      <c r="B77" s="236" t="s">
        <v>89</v>
      </c>
      <c r="C77" s="221">
        <f>'61'!C77</f>
        <v>0</v>
      </c>
      <c r="D77" s="194"/>
      <c r="E77" s="221">
        <f>'61'!D77</f>
        <v>0</v>
      </c>
      <c r="F77" s="221"/>
      <c r="G77" s="221">
        <f>'61'!E77</f>
        <v>0</v>
      </c>
      <c r="H77" s="221"/>
      <c r="I77" s="221"/>
      <c r="J77" s="221"/>
      <c r="K77" s="221"/>
      <c r="L77" s="221"/>
    </row>
    <row r="78" spans="1:12" s="205" customFormat="1" ht="26.25" customHeight="1">
      <c r="A78" s="231" t="s">
        <v>71</v>
      </c>
      <c r="B78" s="238" t="s">
        <v>88</v>
      </c>
      <c r="C78" s="221">
        <f>'61'!C78</f>
        <v>0</v>
      </c>
      <c r="D78" s="194">
        <f>D79</f>
        <v>0</v>
      </c>
      <c r="E78" s="221">
        <f>'61'!D78</f>
        <v>0</v>
      </c>
      <c r="F78" s="221"/>
      <c r="G78" s="221">
        <f>'61'!E78</f>
        <v>0</v>
      </c>
      <c r="H78" s="221"/>
      <c r="I78" s="221"/>
      <c r="J78" s="221"/>
      <c r="K78" s="221"/>
      <c r="L78" s="221"/>
    </row>
    <row r="79" spans="1:12" s="205" customFormat="1" ht="26.25" customHeight="1">
      <c r="A79" s="233">
        <v>1</v>
      </c>
      <c r="B79" s="239" t="s">
        <v>87</v>
      </c>
      <c r="C79" s="221">
        <f>'61'!C79</f>
        <v>0</v>
      </c>
      <c r="D79" s="194"/>
      <c r="E79" s="221">
        <f>'61'!D79</f>
        <v>0</v>
      </c>
      <c r="F79" s="221"/>
      <c r="G79" s="221">
        <f>'61'!E79</f>
        <v>0</v>
      </c>
      <c r="H79" s="221"/>
      <c r="I79" s="221"/>
      <c r="J79" s="221"/>
      <c r="K79" s="221"/>
      <c r="L79" s="221"/>
    </row>
    <row r="80" spans="1:12" s="205" customFormat="1" ht="26.25" customHeight="1">
      <c r="A80" s="233">
        <v>2</v>
      </c>
      <c r="B80" s="239" t="s">
        <v>89</v>
      </c>
      <c r="C80" s="221">
        <f>'61'!C80</f>
        <v>0</v>
      </c>
      <c r="D80" s="194"/>
      <c r="E80" s="221">
        <f>'61'!D80</f>
        <v>0</v>
      </c>
      <c r="F80" s="221"/>
      <c r="G80" s="221">
        <f>'61'!E80</f>
        <v>0</v>
      </c>
      <c r="H80" s="221"/>
      <c r="I80" s="221"/>
      <c r="J80" s="221"/>
      <c r="K80" s="221"/>
      <c r="L80" s="221"/>
    </row>
    <row r="81" spans="1:12" s="205" customFormat="1" ht="26.25" customHeight="1">
      <c r="A81" s="231" t="s">
        <v>90</v>
      </c>
      <c r="B81" s="238" t="s">
        <v>91</v>
      </c>
      <c r="C81" s="218">
        <f>'61'!C81</f>
        <v>3676580</v>
      </c>
      <c r="D81" s="199">
        <f>D82+D85</f>
        <v>3676580</v>
      </c>
      <c r="E81" s="218">
        <f>'61'!D81</f>
        <v>4023225</v>
      </c>
      <c r="F81" s="218">
        <f>F82+F85</f>
        <v>4023225</v>
      </c>
      <c r="G81" s="218">
        <f>'61'!E81</f>
        <v>10787310.800000001</v>
      </c>
      <c r="H81" s="218">
        <f>H82+H85</f>
        <v>10787310.800000001</v>
      </c>
      <c r="I81" s="218">
        <f t="shared" ref="I81:I84" si="25">G81/C81*100</f>
        <v>293.40612199380945</v>
      </c>
      <c r="J81" s="218">
        <f t="shared" ref="J81:J84" si="26">H81/D81*100</f>
        <v>293.40612199380945</v>
      </c>
      <c r="K81" s="218">
        <f t="shared" ref="K81:K87" si="27">G81/E81*100</f>
        <v>268.12596362370982</v>
      </c>
      <c r="L81" s="218">
        <f t="shared" ref="L81:L87" si="28">H81/F81*100</f>
        <v>268.12596362370982</v>
      </c>
    </row>
    <row r="82" spans="1:12" s="205" customFormat="1" ht="26.25" customHeight="1">
      <c r="A82" s="231" t="s">
        <v>86</v>
      </c>
      <c r="B82" s="238" t="s">
        <v>92</v>
      </c>
      <c r="C82" s="218">
        <f>'61'!C82</f>
        <v>3676580</v>
      </c>
      <c r="D82" s="199">
        <f>D83+D84</f>
        <v>3676580</v>
      </c>
      <c r="E82" s="218">
        <f>'61'!D82</f>
        <v>4023225</v>
      </c>
      <c r="F82" s="218">
        <f>F83+F84</f>
        <v>4023225</v>
      </c>
      <c r="G82" s="218">
        <f>'61'!E82</f>
        <v>10763262.800000001</v>
      </c>
      <c r="H82" s="218">
        <f>H83+H84</f>
        <v>10763262.800000001</v>
      </c>
      <c r="I82" s="218">
        <f t="shared" si="25"/>
        <v>292.75203585941284</v>
      </c>
      <c r="J82" s="218">
        <f t="shared" si="26"/>
        <v>292.75203585941284</v>
      </c>
      <c r="K82" s="218">
        <f t="shared" si="27"/>
        <v>267.52823419023298</v>
      </c>
      <c r="L82" s="218">
        <f t="shared" si="28"/>
        <v>267.52823419023298</v>
      </c>
    </row>
    <row r="83" spans="1:12" s="205" customFormat="1" ht="26.25" customHeight="1">
      <c r="A83" s="240" t="s">
        <v>93</v>
      </c>
      <c r="B83" s="235" t="s">
        <v>94</v>
      </c>
      <c r="C83" s="221">
        <f>'61'!C83</f>
        <v>2504745</v>
      </c>
      <c r="D83" s="194">
        <f>C83</f>
        <v>2504745</v>
      </c>
      <c r="E83" s="221">
        <f>'61'!D83</f>
        <v>2504745</v>
      </c>
      <c r="F83" s="221">
        <f>E83</f>
        <v>2504745</v>
      </c>
      <c r="G83" s="221">
        <f>'61'!E83</f>
        <v>6096452.4000000004</v>
      </c>
      <c r="H83" s="221">
        <f>G83</f>
        <v>6096452.4000000004</v>
      </c>
      <c r="I83" s="221">
        <f t="shared" si="25"/>
        <v>243.39613014498482</v>
      </c>
      <c r="J83" s="221">
        <f t="shared" si="26"/>
        <v>243.39613014498482</v>
      </c>
      <c r="K83" s="221">
        <f t="shared" si="27"/>
        <v>243.39613014498482</v>
      </c>
      <c r="L83" s="221">
        <f t="shared" si="28"/>
        <v>243.39613014498482</v>
      </c>
    </row>
    <row r="84" spans="1:12" s="205" customFormat="1" ht="26.25" customHeight="1">
      <c r="A84" s="240" t="s">
        <v>95</v>
      </c>
      <c r="B84" s="235" t="s">
        <v>96</v>
      </c>
      <c r="C84" s="221">
        <f>'61'!C84</f>
        <v>1171835</v>
      </c>
      <c r="D84" s="194">
        <f>C84</f>
        <v>1171835</v>
      </c>
      <c r="E84" s="221">
        <f>'61'!D84</f>
        <v>1518480</v>
      </c>
      <c r="F84" s="221">
        <f>E84</f>
        <v>1518480</v>
      </c>
      <c r="G84" s="221">
        <f>'61'!E84</f>
        <v>4666810.4000000004</v>
      </c>
      <c r="H84" s="221">
        <f>G84</f>
        <v>4666810.4000000004</v>
      </c>
      <c r="I84" s="221">
        <f t="shared" si="25"/>
        <v>398.24808100116485</v>
      </c>
      <c r="J84" s="221">
        <f t="shared" si="26"/>
        <v>398.24808100116485</v>
      </c>
      <c r="K84" s="221">
        <f t="shared" si="27"/>
        <v>307.33433433433436</v>
      </c>
      <c r="L84" s="221">
        <f t="shared" si="28"/>
        <v>307.33433433433436</v>
      </c>
    </row>
    <row r="85" spans="1:12" s="205" customFormat="1" ht="26.25" customHeight="1">
      <c r="A85" s="231" t="s">
        <v>71</v>
      </c>
      <c r="B85" s="238" t="s">
        <v>97</v>
      </c>
      <c r="C85" s="218">
        <f>'61'!C85</f>
        <v>0</v>
      </c>
      <c r="D85" s="199"/>
      <c r="E85" s="218">
        <f>'61'!D85</f>
        <v>0</v>
      </c>
      <c r="F85" s="218"/>
      <c r="G85" s="218">
        <f>'61'!E85</f>
        <v>24048</v>
      </c>
      <c r="H85" s="218">
        <f t="shared" ref="H85:H87" si="29">G85</f>
        <v>24048</v>
      </c>
      <c r="I85" s="218"/>
      <c r="J85" s="218"/>
      <c r="K85" s="218"/>
      <c r="L85" s="218"/>
    </row>
    <row r="86" spans="1:12" s="205" customFormat="1" ht="26.25" customHeight="1">
      <c r="A86" s="231" t="s">
        <v>98</v>
      </c>
      <c r="B86" s="238" t="s">
        <v>99</v>
      </c>
      <c r="C86" s="218">
        <f>'61'!C86</f>
        <v>0</v>
      </c>
      <c r="D86" s="199"/>
      <c r="E86" s="218">
        <f>'61'!D86</f>
        <v>0</v>
      </c>
      <c r="F86" s="218">
        <f>E86</f>
        <v>0</v>
      </c>
      <c r="G86" s="218">
        <f>'61'!E86</f>
        <v>5249083</v>
      </c>
      <c r="H86" s="218">
        <f t="shared" si="29"/>
        <v>5249083</v>
      </c>
      <c r="I86" s="218"/>
      <c r="J86" s="218"/>
      <c r="K86" s="218"/>
      <c r="L86" s="218"/>
    </row>
    <row r="87" spans="1:12" s="205" customFormat="1" ht="26.25" customHeight="1">
      <c r="A87" s="241" t="s">
        <v>100</v>
      </c>
      <c r="B87" s="242" t="s">
        <v>101</v>
      </c>
      <c r="C87" s="218">
        <f>'61'!C87</f>
        <v>0</v>
      </c>
      <c r="D87" s="199"/>
      <c r="E87" s="218">
        <f>'61'!D87</f>
        <v>1454605</v>
      </c>
      <c r="F87" s="218">
        <f t="shared" ref="F87:F88" si="30">E87</f>
        <v>1454605</v>
      </c>
      <c r="G87" s="218">
        <f>'61'!E87</f>
        <v>547535</v>
      </c>
      <c r="H87" s="218">
        <f t="shared" si="29"/>
        <v>547535</v>
      </c>
      <c r="I87" s="218"/>
      <c r="J87" s="218"/>
      <c r="K87" s="218">
        <f t="shared" si="27"/>
        <v>37.641490301490784</v>
      </c>
      <c r="L87" s="218">
        <f t="shared" si="28"/>
        <v>37.641490301490784</v>
      </c>
    </row>
    <row r="88" spans="1:12" s="205" customFormat="1" ht="26.25" customHeight="1">
      <c r="A88" s="298" t="s">
        <v>141</v>
      </c>
      <c r="B88" s="299" t="s">
        <v>206</v>
      </c>
      <c r="C88" s="300">
        <f>'61'!C88</f>
        <v>0</v>
      </c>
      <c r="D88" s="486"/>
      <c r="E88" s="300">
        <f>'61'!D88</f>
        <v>30000</v>
      </c>
      <c r="F88" s="300">
        <f t="shared" si="30"/>
        <v>30000</v>
      </c>
      <c r="G88" s="300">
        <f>'61'!E88</f>
        <v>0</v>
      </c>
      <c r="H88" s="300"/>
      <c r="I88" s="300"/>
      <c r="J88" s="300"/>
      <c r="K88" s="300"/>
      <c r="L88" s="300"/>
    </row>
    <row r="89" spans="1:12" ht="18.75">
      <c r="A89" s="205"/>
      <c r="B89" s="205"/>
      <c r="C89" s="205"/>
      <c r="D89" s="191"/>
      <c r="E89" s="205"/>
      <c r="F89" s="205"/>
      <c r="G89" s="205"/>
      <c r="H89" s="205"/>
      <c r="I89" s="205"/>
      <c r="J89" s="205"/>
      <c r="K89" s="205"/>
      <c r="L89" s="205"/>
    </row>
    <row r="90" spans="1:12" ht="18.75">
      <c r="A90" s="205"/>
      <c r="B90" s="205"/>
      <c r="C90" s="205"/>
      <c r="D90" s="191"/>
      <c r="E90" s="205"/>
      <c r="F90" s="205"/>
      <c r="G90" s="205"/>
      <c r="H90" s="205"/>
      <c r="I90" s="205"/>
      <c r="J90" s="205"/>
      <c r="K90" s="205"/>
      <c r="L90" s="205"/>
    </row>
    <row r="91" spans="1:12" ht="22.5" customHeight="1">
      <c r="A91" s="205"/>
      <c r="B91" s="205"/>
      <c r="C91" s="205"/>
      <c r="D91" s="191"/>
      <c r="E91" s="205"/>
      <c r="F91" s="205"/>
      <c r="G91" s="205"/>
      <c r="H91" s="205"/>
      <c r="I91" s="205"/>
      <c r="J91" s="205"/>
      <c r="K91" s="205"/>
      <c r="L91" s="205"/>
    </row>
    <row r="92" spans="1:12" ht="18.75">
      <c r="A92" s="205"/>
      <c r="B92" s="205"/>
      <c r="C92" s="205"/>
      <c r="D92" s="191"/>
      <c r="E92" s="205"/>
      <c r="F92" s="205"/>
      <c r="G92" s="205"/>
      <c r="H92" s="205"/>
      <c r="I92" s="205"/>
      <c r="J92" s="205"/>
      <c r="K92" s="205"/>
      <c r="L92" s="205"/>
    </row>
    <row r="93" spans="1:12" ht="18.75">
      <c r="A93" s="205"/>
      <c r="B93" s="205"/>
      <c r="C93" s="205"/>
      <c r="D93" s="191"/>
      <c r="E93" s="205"/>
      <c r="F93" s="205"/>
      <c r="G93" s="205"/>
      <c r="H93" s="205"/>
      <c r="I93" s="205"/>
      <c r="J93" s="205"/>
      <c r="K93" s="205"/>
      <c r="L93" s="205"/>
    </row>
    <row r="94" spans="1:12" ht="18.75">
      <c r="A94" s="205"/>
      <c r="B94" s="205"/>
      <c r="C94" s="205"/>
      <c r="D94" s="191"/>
      <c r="E94" s="205"/>
      <c r="F94" s="205"/>
      <c r="G94" s="205"/>
      <c r="H94" s="205"/>
      <c r="I94" s="205"/>
      <c r="J94" s="205"/>
      <c r="K94" s="205"/>
      <c r="L94" s="205"/>
    </row>
    <row r="95" spans="1:12" ht="18.75">
      <c r="A95" s="205"/>
      <c r="B95" s="205"/>
      <c r="C95" s="205"/>
      <c r="D95" s="191"/>
      <c r="E95" s="205"/>
      <c r="F95" s="205"/>
      <c r="G95" s="205"/>
      <c r="H95" s="205"/>
      <c r="I95" s="205"/>
      <c r="J95" s="205"/>
      <c r="K95" s="205"/>
      <c r="L95" s="205"/>
    </row>
  </sheetData>
  <mergeCells count="15">
    <mergeCell ref="I1:L1"/>
    <mergeCell ref="I2:L2"/>
    <mergeCell ref="A11:B11"/>
    <mergeCell ref="A5:L5"/>
    <mergeCell ref="A4:L4"/>
    <mergeCell ref="A3:L3"/>
    <mergeCell ref="A7:A9"/>
    <mergeCell ref="B7:B9"/>
    <mergeCell ref="I7:L7"/>
    <mergeCell ref="I8:J8"/>
    <mergeCell ref="K8:L8"/>
    <mergeCell ref="G7:H8"/>
    <mergeCell ref="C7:F7"/>
    <mergeCell ref="C8:D8"/>
    <mergeCell ref="E8:F8"/>
  </mergeCells>
  <pageMargins left="0.2" right="0.2" top="0.56000000000000005" bottom="0.36" header="0.36" footer="0.2"/>
  <pageSetup paperSize="9" scale="60" fitToHeight="5" orientation="landscape" r:id="rId1"/>
  <headerFooter alignWithMargins="0">
    <oddFooter>&amp;C&amp;".VnTime,Italic"&amp;8
&amp;P</oddFooter>
  </headerFooter>
  <ignoredErrors>
    <ignoredError sqref="E12:E21 E81:E84 E36:E63 D35 F35 E29:E35 D28 F28 E22:E28 D21 F21 G12:G80 H21 H28 H35 G85:G88 G83:G84" formula="1"/>
    <ignoredError sqref="A14 A21 A28 A35 A42:A46 A49:A6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zoomScale="70" zoomScaleNormal="70" workbookViewId="0">
      <selection activeCell="G9" sqref="G9"/>
    </sheetView>
  </sheetViews>
  <sheetFormatPr defaultRowHeight="15.75"/>
  <cols>
    <col min="1" max="1" width="5.125" style="188" customWidth="1"/>
    <col min="2" max="2" width="60.25" style="188" customWidth="1"/>
    <col min="3" max="4" width="16" style="188" customWidth="1"/>
    <col min="5" max="5" width="12.375" style="188" customWidth="1"/>
    <col min="6" max="6" width="9" style="188"/>
    <col min="7" max="7" width="23.25" style="16" customWidth="1"/>
    <col min="8" max="16384" width="9" style="188"/>
  </cols>
  <sheetData>
    <row r="1" spans="1:7" ht="21" customHeight="1">
      <c r="A1" s="285" t="str">
        <f>'PL5036'!A1</f>
        <v>HỘI NHÂN DÂN TỈNH BÌNH PHƯỚC</v>
      </c>
      <c r="B1" s="186"/>
      <c r="C1" s="760" t="s">
        <v>242</v>
      </c>
      <c r="D1" s="760"/>
      <c r="E1" s="760"/>
    </row>
    <row r="2" spans="1:7" ht="39" customHeight="1">
      <c r="A2" s="189"/>
      <c r="B2" s="189"/>
      <c r="C2" s="774" t="s">
        <v>340</v>
      </c>
      <c r="D2" s="774"/>
      <c r="E2" s="774"/>
    </row>
    <row r="3" spans="1:7" ht="17.25" customHeight="1">
      <c r="A3" s="189"/>
      <c r="B3" s="189"/>
      <c r="C3" s="187"/>
      <c r="D3" s="277"/>
      <c r="E3" s="277"/>
    </row>
    <row r="4" spans="1:7" ht="21" customHeight="1">
      <c r="A4" s="760" t="s">
        <v>512</v>
      </c>
      <c r="B4" s="760"/>
      <c r="C4" s="760"/>
      <c r="D4" s="760"/>
      <c r="E4" s="760"/>
    </row>
    <row r="5" spans="1:7" ht="29.25" customHeight="1">
      <c r="A5" s="758" t="str">
        <f>'PL5036'!A5:L5</f>
        <v>(Kèm theo Nghị quyết số:         /NQ-HĐND ngày      tháng  12  năm 2023 của Hội đồng nhân dân tỉnh)</v>
      </c>
      <c r="B5" s="758"/>
      <c r="C5" s="758"/>
      <c r="D5" s="758"/>
      <c r="E5" s="758"/>
    </row>
    <row r="6" spans="1:7" ht="28.5" customHeight="1">
      <c r="A6" s="190"/>
      <c r="B6" s="190"/>
      <c r="C6" s="191"/>
      <c r="D6" s="775" t="s">
        <v>209</v>
      </c>
      <c r="E6" s="775"/>
    </row>
    <row r="7" spans="1:7" s="192" customFormat="1" ht="64.5" customHeight="1">
      <c r="A7" s="302" t="s">
        <v>18</v>
      </c>
      <c r="B7" s="302" t="s">
        <v>178</v>
      </c>
      <c r="C7" s="302" t="s">
        <v>237</v>
      </c>
      <c r="D7" s="302" t="s">
        <v>238</v>
      </c>
      <c r="E7" s="301" t="s">
        <v>308</v>
      </c>
      <c r="G7" s="123"/>
    </row>
    <row r="8" spans="1:7" s="156" customFormat="1" ht="28.5" customHeight="1">
      <c r="A8" s="155" t="s">
        <v>1</v>
      </c>
      <c r="B8" s="154" t="s">
        <v>2</v>
      </c>
      <c r="C8" s="155">
        <v>1</v>
      </c>
      <c r="D8" s="155">
        <f>C8+1</f>
        <v>2</v>
      </c>
      <c r="E8" s="182" t="s">
        <v>243</v>
      </c>
      <c r="G8" s="195"/>
    </row>
    <row r="9" spans="1:7" s="191" customFormat="1" ht="40.5" customHeight="1">
      <c r="A9" s="754" t="s">
        <v>244</v>
      </c>
      <c r="B9" s="754"/>
      <c r="C9" s="196">
        <f>C10+C23+C24</f>
        <v>18488000</v>
      </c>
      <c r="D9" s="196">
        <f>D10+D23+D24</f>
        <v>22757859.800000001</v>
      </c>
      <c r="E9" s="196">
        <f>D9/C9*100</f>
        <v>123.09530398096062</v>
      </c>
      <c r="G9" s="197"/>
    </row>
    <row r="10" spans="1:7" s="191" customFormat="1" ht="40.5" customHeight="1">
      <c r="A10" s="168" t="s">
        <v>1</v>
      </c>
      <c r="B10" s="279" t="s">
        <v>245</v>
      </c>
      <c r="C10" s="297">
        <f>C11+C12+SUM(C16:C22)</f>
        <v>18488000</v>
      </c>
      <c r="D10" s="349">
        <f>D11+D12+SUM(D16:D22)</f>
        <v>22737976.800000001</v>
      </c>
      <c r="E10" s="297">
        <f t="shared" ref="E10:E19" si="0">D10/C10*100</f>
        <v>122.98775854608395</v>
      </c>
      <c r="G10" s="197"/>
    </row>
    <row r="11" spans="1:7" s="193" customFormat="1" ht="40.5" customHeight="1">
      <c r="A11" s="171" t="s">
        <v>86</v>
      </c>
      <c r="B11" s="172" t="s">
        <v>226</v>
      </c>
      <c r="C11" s="194">
        <f>'PL4834'!C25</f>
        <v>7481382</v>
      </c>
      <c r="D11" s="263">
        <f>'PL4834'!D25</f>
        <v>6450021</v>
      </c>
      <c r="E11" s="199">
        <f t="shared" si="0"/>
        <v>86.214298374284326</v>
      </c>
      <c r="G11" s="261"/>
    </row>
    <row r="12" spans="1:7" s="191" customFormat="1" ht="40.5" customHeight="1">
      <c r="A12" s="171" t="s">
        <v>71</v>
      </c>
      <c r="B12" s="172" t="s">
        <v>154</v>
      </c>
      <c r="C12" s="194">
        <f>'PL4834'!C26</f>
        <v>8802907</v>
      </c>
      <c r="D12" s="263">
        <f>'PL4834'!D26</f>
        <v>7245688.2000000011</v>
      </c>
      <c r="E12" s="199">
        <f t="shared" si="0"/>
        <v>82.310175490891822</v>
      </c>
      <c r="G12" s="197"/>
    </row>
    <row r="13" spans="1:7" s="191" customFormat="1" ht="40.5" customHeight="1">
      <c r="A13" s="177"/>
      <c r="B13" s="184" t="s">
        <v>246</v>
      </c>
      <c r="C13" s="268"/>
      <c r="D13" s="350"/>
      <c r="E13" s="194"/>
      <c r="G13" s="197"/>
    </row>
    <row r="14" spans="1:7" s="191" customFormat="1" ht="40.5" customHeight="1">
      <c r="A14" s="177">
        <v>1</v>
      </c>
      <c r="B14" s="184" t="s">
        <v>247</v>
      </c>
      <c r="C14" s="269">
        <f>'62'!D22</f>
        <v>3166882</v>
      </c>
      <c r="D14" s="263">
        <f>'62'!E22</f>
        <v>2752525.6</v>
      </c>
      <c r="E14" s="194">
        <f t="shared" si="0"/>
        <v>86.915950767979353</v>
      </c>
      <c r="G14" s="197"/>
    </row>
    <row r="15" spans="1:7" s="191" customFormat="1" ht="40.5" customHeight="1">
      <c r="A15" s="177">
        <f>A14+1</f>
        <v>2</v>
      </c>
      <c r="B15" s="184" t="s">
        <v>248</v>
      </c>
      <c r="C15" s="269">
        <f>'62'!D23</f>
        <v>24378</v>
      </c>
      <c r="D15" s="263">
        <f>'62'!E23</f>
        <v>11187.6</v>
      </c>
      <c r="E15" s="194">
        <f t="shared" si="0"/>
        <v>45.892197883337438</v>
      </c>
      <c r="G15" s="197"/>
    </row>
    <row r="16" spans="1:7" s="191" customFormat="1" ht="40.5" customHeight="1">
      <c r="A16" s="171" t="s">
        <v>73</v>
      </c>
      <c r="B16" s="172" t="s">
        <v>227</v>
      </c>
      <c r="C16" s="199">
        <f>'PL4834'!C27</f>
        <v>1000</v>
      </c>
      <c r="D16" s="264">
        <f>'PL4834'!D27</f>
        <v>0</v>
      </c>
      <c r="E16" s="199">
        <f>'PL4834'!E27</f>
        <v>-1000</v>
      </c>
      <c r="G16" s="197"/>
    </row>
    <row r="17" spans="1:7" s="191" customFormat="1" ht="40.5" customHeight="1">
      <c r="A17" s="171" t="s">
        <v>79</v>
      </c>
      <c r="B17" s="180" t="s">
        <v>143</v>
      </c>
      <c r="C17" s="199">
        <f>'PL4834'!C28</f>
        <v>0</v>
      </c>
      <c r="D17" s="264">
        <f>'PL4834'!D28</f>
        <v>9016720</v>
      </c>
      <c r="E17" s="199"/>
      <c r="G17" s="197"/>
    </row>
    <row r="18" spans="1:7" s="191" customFormat="1" ht="40.5" customHeight="1">
      <c r="A18" s="171" t="s">
        <v>80</v>
      </c>
      <c r="B18" s="180" t="s">
        <v>130</v>
      </c>
      <c r="C18" s="199">
        <f>'PL4834'!C29</f>
        <v>589474</v>
      </c>
      <c r="D18" s="264">
        <f>'PL4834'!D29</f>
        <v>0</v>
      </c>
      <c r="E18" s="199">
        <f t="shared" si="0"/>
        <v>0</v>
      </c>
      <c r="G18" s="197"/>
    </row>
    <row r="19" spans="1:7" s="191" customFormat="1" ht="40.5" customHeight="1">
      <c r="A19" s="171" t="s">
        <v>81</v>
      </c>
      <c r="B19" s="180" t="s">
        <v>132</v>
      </c>
      <c r="C19" s="199">
        <f>'PL4834'!C30</f>
        <v>1490785</v>
      </c>
      <c r="D19" s="264">
        <f>'PL4834'!D30</f>
        <v>0</v>
      </c>
      <c r="E19" s="199">
        <f t="shared" si="0"/>
        <v>0</v>
      </c>
      <c r="G19" s="197"/>
    </row>
    <row r="20" spans="1:7" s="191" customFormat="1" ht="40.5" customHeight="1">
      <c r="A20" s="171" t="s">
        <v>136</v>
      </c>
      <c r="B20" s="180" t="s">
        <v>133</v>
      </c>
      <c r="C20" s="199">
        <f>'PL4834'!C31</f>
        <v>122452</v>
      </c>
      <c r="D20" s="264">
        <f>'PL4834'!D31</f>
        <v>0</v>
      </c>
      <c r="E20" s="199"/>
      <c r="G20" s="197"/>
    </row>
    <row r="21" spans="1:7" s="191" customFormat="1" ht="40.5" customHeight="1">
      <c r="A21" s="171" t="s">
        <v>136</v>
      </c>
      <c r="B21" s="180" t="s">
        <v>134</v>
      </c>
      <c r="C21" s="199">
        <f>'PL4834'!C32</f>
        <v>0</v>
      </c>
      <c r="D21" s="264">
        <f>'PL4834'!D32</f>
        <v>0</v>
      </c>
      <c r="E21" s="199">
        <v>0</v>
      </c>
      <c r="G21" s="197"/>
    </row>
    <row r="22" spans="1:7" s="191" customFormat="1" ht="38.25" customHeight="1">
      <c r="A22" s="171" t="s">
        <v>138</v>
      </c>
      <c r="B22" s="172" t="s">
        <v>155</v>
      </c>
      <c r="C22" s="199">
        <f>'PL4834'!C33</f>
        <v>0</v>
      </c>
      <c r="D22" s="264">
        <f>'PL4834'!D33</f>
        <v>25547.599999999999</v>
      </c>
      <c r="E22" s="199">
        <v>0</v>
      </c>
      <c r="G22" s="197"/>
    </row>
    <row r="23" spans="1:7" s="191" customFormat="1" ht="40.5" customHeight="1">
      <c r="A23" s="171" t="s">
        <v>2</v>
      </c>
      <c r="B23" s="340" t="s">
        <v>135</v>
      </c>
      <c r="C23" s="199">
        <f>'PL4834'!C34</f>
        <v>0</v>
      </c>
      <c r="D23" s="264">
        <f>'PL4834'!D34</f>
        <v>9226</v>
      </c>
      <c r="E23" s="199"/>
      <c r="G23" s="197"/>
    </row>
    <row r="24" spans="1:7" ht="27" customHeight="1">
      <c r="A24" s="303" t="s">
        <v>90</v>
      </c>
      <c r="B24" s="304" t="s">
        <v>536</v>
      </c>
      <c r="C24" s="304"/>
      <c r="D24" s="295">
        <f>'PL4834'!E36</f>
        <v>10657</v>
      </c>
      <c r="E24" s="304"/>
    </row>
  </sheetData>
  <mergeCells count="6">
    <mergeCell ref="C1:E1"/>
    <mergeCell ref="C2:E2"/>
    <mergeCell ref="D6:E6"/>
    <mergeCell ref="A9:B9"/>
    <mergeCell ref="A4:E4"/>
    <mergeCell ref="A5:E5"/>
  </mergeCells>
  <pageMargins left="0.62" right="0.35" top="0.64" bottom="0.37" header="0.41" footer="0.17"/>
  <pageSetup paperSize="9" scale="79" fitToHeight="5" orientation="portrait" r:id="rId1"/>
  <headerFooter alignWithMargins="0">
    <oddFooter xml:space="preserve">&amp;C&amp;".VnTime,Italic"&amp;8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topLeftCell="A8" zoomScale="70" zoomScaleNormal="70" zoomScalePageLayoutView="90" workbookViewId="0">
      <selection activeCell="D13" sqref="D13"/>
    </sheetView>
  </sheetViews>
  <sheetFormatPr defaultRowHeight="15.75"/>
  <cols>
    <col min="1" max="1" width="5.125" style="38" customWidth="1"/>
    <col min="2" max="2" width="67.75" style="38" customWidth="1"/>
    <col min="3" max="4" width="14.125" style="38" bestFit="1" customWidth="1"/>
    <col min="5" max="5" width="13.625" style="40" bestFit="1" customWidth="1"/>
    <col min="6" max="6" width="12.75" style="40" customWidth="1"/>
    <col min="7" max="7" width="9" style="38"/>
    <col min="8" max="8" width="16" style="16" bestFit="1" customWidth="1"/>
    <col min="9" max="16384" width="9" style="38"/>
  </cols>
  <sheetData>
    <row r="1" spans="1:8" ht="21" customHeight="1">
      <c r="A1" s="753" t="str">
        <f>'PL5137'!A1</f>
        <v>HỘI NHÂN DÂN TỈNH BÌNH PHƯỚC</v>
      </c>
      <c r="B1" s="753"/>
      <c r="C1" s="41"/>
      <c r="D1" s="759" t="s">
        <v>250</v>
      </c>
      <c r="E1" s="759"/>
      <c r="F1" s="759"/>
    </row>
    <row r="2" spans="1:8" ht="63" customHeight="1">
      <c r="A2" s="144"/>
      <c r="B2" s="144"/>
      <c r="C2" s="41"/>
      <c r="D2" s="710" t="s">
        <v>340</v>
      </c>
      <c r="E2" s="710"/>
      <c r="F2" s="710"/>
    </row>
    <row r="3" spans="1:8" ht="18.75" customHeight="1">
      <c r="A3" s="144"/>
      <c r="B3" s="144"/>
      <c r="C3" s="41"/>
      <c r="D3" s="41"/>
    </row>
    <row r="4" spans="1:8" ht="18.75" customHeight="1">
      <c r="A4" s="144"/>
      <c r="B4" s="144"/>
      <c r="C4" s="41"/>
      <c r="D4" s="41"/>
    </row>
    <row r="5" spans="1:8" ht="21" customHeight="1">
      <c r="A5" s="759" t="s">
        <v>513</v>
      </c>
      <c r="B5" s="759"/>
      <c r="C5" s="759"/>
      <c r="D5" s="759"/>
      <c r="E5" s="759"/>
      <c r="F5" s="759"/>
    </row>
    <row r="6" spans="1:8" ht="21" customHeight="1">
      <c r="A6" s="776" t="str">
        <f>'PL5137'!A5:E5</f>
        <v>(Kèm theo Nghị quyết số:         /NQ-HĐND ngày      tháng  12  năm 2023 của Hội đồng nhân dân tỉnh)</v>
      </c>
      <c r="B6" s="776"/>
      <c r="C6" s="776"/>
      <c r="D6" s="776"/>
      <c r="E6" s="776"/>
      <c r="F6" s="776"/>
    </row>
    <row r="7" spans="1:8" ht="17.25" customHeight="1">
      <c r="A7" s="145"/>
      <c r="B7" s="145"/>
      <c r="C7" s="41"/>
      <c r="D7" s="41"/>
    </row>
    <row r="8" spans="1:8" ht="29.25" customHeight="1">
      <c r="A8" s="146"/>
      <c r="B8" s="146"/>
      <c r="C8" s="39"/>
      <c r="D8" s="777" t="s">
        <v>165</v>
      </c>
      <c r="E8" s="777"/>
      <c r="F8" s="777"/>
    </row>
    <row r="9" spans="1:8" s="122" customFormat="1" ht="23.25" customHeight="1">
      <c r="A9" s="755" t="s">
        <v>18</v>
      </c>
      <c r="B9" s="755" t="s">
        <v>178</v>
      </c>
      <c r="C9" s="778" t="s">
        <v>237</v>
      </c>
      <c r="D9" s="778" t="s">
        <v>238</v>
      </c>
      <c r="E9" s="780" t="s">
        <v>310</v>
      </c>
      <c r="F9" s="781"/>
      <c r="H9" s="123"/>
    </row>
    <row r="10" spans="1:8" s="122" customFormat="1" ht="23.25" customHeight="1">
      <c r="A10" s="756"/>
      <c r="B10" s="756"/>
      <c r="C10" s="779"/>
      <c r="D10" s="779"/>
      <c r="E10" s="310" t="s">
        <v>211</v>
      </c>
      <c r="F10" s="310" t="s">
        <v>212</v>
      </c>
      <c r="H10" s="123"/>
    </row>
    <row r="11" spans="1:8" s="150" customFormat="1" ht="17.25" customHeight="1">
      <c r="A11" s="149" t="s">
        <v>1</v>
      </c>
      <c r="B11" s="149" t="s">
        <v>2</v>
      </c>
      <c r="C11" s="149">
        <v>1</v>
      </c>
      <c r="D11" s="149">
        <f>C11+1</f>
        <v>2</v>
      </c>
      <c r="E11" s="311" t="s">
        <v>213</v>
      </c>
      <c r="F11" s="311" t="s">
        <v>214</v>
      </c>
      <c r="H11" s="195"/>
    </row>
    <row r="12" spans="1:8" s="39" customFormat="1" ht="36.75" customHeight="1">
      <c r="A12" s="754" t="s">
        <v>224</v>
      </c>
      <c r="B12" s="754"/>
      <c r="C12" s="273">
        <f>C13+C14+C36</f>
        <v>22511225</v>
      </c>
      <c r="D12" s="273">
        <f>D13+D14+D36</f>
        <v>27971705.800000001</v>
      </c>
      <c r="E12" s="312">
        <f>D12-C12</f>
        <v>5460480.8000000007</v>
      </c>
      <c r="F12" s="312">
        <f>D12/C12*100</f>
        <v>124.25670215636866</v>
      </c>
      <c r="H12" s="197"/>
    </row>
    <row r="13" spans="1:8" s="39" customFormat="1" ht="36.75" customHeight="1">
      <c r="A13" s="313" t="s">
        <v>1</v>
      </c>
      <c r="B13" s="314" t="s">
        <v>309</v>
      </c>
      <c r="C13" s="315">
        <f>'62'!D40</f>
        <v>4023225</v>
      </c>
      <c r="D13" s="315">
        <f>'62'!F40</f>
        <v>5224503</v>
      </c>
      <c r="E13" s="316">
        <f t="shared" ref="E13:E36" si="0">D13-C13</f>
        <v>1201278</v>
      </c>
      <c r="F13" s="316">
        <f t="shared" ref="F13:F32" si="1">D13/C13*100</f>
        <v>129.85858359897844</v>
      </c>
      <c r="H13" s="197"/>
    </row>
    <row r="14" spans="1:8" s="39" customFormat="1" ht="36.75" customHeight="1">
      <c r="A14" s="171" t="s">
        <v>2</v>
      </c>
      <c r="B14" s="172" t="s">
        <v>251</v>
      </c>
      <c r="C14" s="264">
        <f>C15+C16+SUM(C29:C35)</f>
        <v>18488000</v>
      </c>
      <c r="D14" s="264">
        <f>D15+D16+SUM(D29:D35)</f>
        <v>13730482.800000001</v>
      </c>
      <c r="E14" s="317">
        <f t="shared" si="0"/>
        <v>-4757517.1999999993</v>
      </c>
      <c r="F14" s="317">
        <f t="shared" si="1"/>
        <v>74.26699913457378</v>
      </c>
      <c r="H14" s="197"/>
    </row>
    <row r="15" spans="1:8" s="39" customFormat="1" ht="36.75" customHeight="1">
      <c r="A15" s="171">
        <v>1</v>
      </c>
      <c r="B15" s="172" t="s">
        <v>167</v>
      </c>
      <c r="C15" s="264">
        <f>'62 (2)'!D14+'62'!D15</f>
        <v>7481382</v>
      </c>
      <c r="D15" s="264">
        <f>'62'!E12</f>
        <v>6450021</v>
      </c>
      <c r="E15" s="317">
        <f t="shared" si="0"/>
        <v>-1031361</v>
      </c>
      <c r="F15" s="317">
        <f t="shared" si="1"/>
        <v>86.214298374284326</v>
      </c>
      <c r="H15" s="197"/>
    </row>
    <row r="16" spans="1:8" s="39" customFormat="1" ht="36.75" customHeight="1">
      <c r="A16" s="280">
        <v>2</v>
      </c>
      <c r="B16" s="281" t="s">
        <v>154</v>
      </c>
      <c r="C16" s="264">
        <f>SUM(C17:C28)</f>
        <v>8802907</v>
      </c>
      <c r="D16" s="264">
        <f>SUM(D17:D28)</f>
        <v>7245688.2000000011</v>
      </c>
      <c r="E16" s="317">
        <f t="shared" si="0"/>
        <v>-1557218.7999999989</v>
      </c>
      <c r="F16" s="317">
        <f t="shared" si="1"/>
        <v>82.310175490891822</v>
      </c>
      <c r="H16" s="197"/>
    </row>
    <row r="17" spans="1:8" s="151" customFormat="1" ht="25.5" customHeight="1">
      <c r="A17" s="318" t="s">
        <v>82</v>
      </c>
      <c r="B17" s="319" t="s">
        <v>106</v>
      </c>
      <c r="C17" s="263">
        <f>'62 (2)'!D21</f>
        <v>290518</v>
      </c>
      <c r="D17" s="263">
        <f>'62 (2)'!E21</f>
        <v>388648</v>
      </c>
      <c r="E17" s="320">
        <f t="shared" si="0"/>
        <v>98130</v>
      </c>
      <c r="F17" s="320">
        <f t="shared" si="1"/>
        <v>133.77759725731281</v>
      </c>
      <c r="H17" s="261"/>
    </row>
    <row r="18" spans="1:8" s="151" customFormat="1" ht="25.5" customHeight="1">
      <c r="A18" s="318" t="s">
        <v>83</v>
      </c>
      <c r="B18" s="319" t="s">
        <v>107</v>
      </c>
      <c r="C18" s="263">
        <f>'62 (2)'!D22</f>
        <v>127223</v>
      </c>
      <c r="D18" s="263">
        <f>'62 (2)'!E22</f>
        <v>136644</v>
      </c>
      <c r="E18" s="320">
        <f t="shared" si="0"/>
        <v>9421</v>
      </c>
      <c r="F18" s="320">
        <f t="shared" si="1"/>
        <v>107.40510756702797</v>
      </c>
      <c r="H18" s="261"/>
    </row>
    <row r="19" spans="1:8" s="151" customFormat="1" ht="25.5" customHeight="1">
      <c r="A19" s="318" t="s">
        <v>111</v>
      </c>
      <c r="B19" s="319" t="s">
        <v>129</v>
      </c>
      <c r="C19" s="263">
        <f>'62 (2)'!D23</f>
        <v>3166882</v>
      </c>
      <c r="D19" s="263">
        <f>'62 (2)'!E23</f>
        <v>2752525.6</v>
      </c>
      <c r="E19" s="320">
        <f t="shared" si="0"/>
        <v>-414356.39999999991</v>
      </c>
      <c r="F19" s="320">
        <f t="shared" si="1"/>
        <v>86.915950767979353</v>
      </c>
      <c r="H19" s="261"/>
    </row>
    <row r="20" spans="1:8" s="151" customFormat="1" ht="25.5" customHeight="1">
      <c r="A20" s="318" t="s">
        <v>112</v>
      </c>
      <c r="B20" s="319" t="s">
        <v>188</v>
      </c>
      <c r="C20" s="263">
        <f>'62 (2)'!D24</f>
        <v>24378</v>
      </c>
      <c r="D20" s="263">
        <f>'62 (2)'!E24</f>
        <v>11187.6</v>
      </c>
      <c r="E20" s="320">
        <f t="shared" si="0"/>
        <v>-13190.4</v>
      </c>
      <c r="F20" s="320">
        <f t="shared" si="1"/>
        <v>45.892197883337438</v>
      </c>
      <c r="H20" s="261"/>
    </row>
    <row r="21" spans="1:8" s="151" customFormat="1" ht="25.5" customHeight="1">
      <c r="A21" s="318" t="s">
        <v>113</v>
      </c>
      <c r="B21" s="319" t="s">
        <v>127</v>
      </c>
      <c r="C21" s="263">
        <f>'62 (2)'!D25</f>
        <v>583557</v>
      </c>
      <c r="D21" s="263">
        <f>'62 (2)'!E25</f>
        <v>596344</v>
      </c>
      <c r="E21" s="320">
        <f t="shared" si="0"/>
        <v>12787</v>
      </c>
      <c r="F21" s="320">
        <f t="shared" si="1"/>
        <v>102.19121696766553</v>
      </c>
      <c r="H21" s="261"/>
    </row>
    <row r="22" spans="1:8" s="151" customFormat="1" ht="25.5" customHeight="1">
      <c r="A22" s="318" t="s">
        <v>114</v>
      </c>
      <c r="B22" s="319" t="s">
        <v>192</v>
      </c>
      <c r="C22" s="263">
        <f>'62 (2)'!D26</f>
        <v>158387</v>
      </c>
      <c r="D22" s="263">
        <f>'62 (2)'!E26</f>
        <v>157143.6</v>
      </c>
      <c r="E22" s="320">
        <f t="shared" si="0"/>
        <v>-1243.3999999999942</v>
      </c>
      <c r="F22" s="320">
        <f t="shared" si="1"/>
        <v>99.214960823804986</v>
      </c>
      <c r="H22" s="261"/>
    </row>
    <row r="23" spans="1:8" s="151" customFormat="1" ht="25.5" customHeight="1">
      <c r="A23" s="318" t="s">
        <v>115</v>
      </c>
      <c r="B23" s="319" t="s">
        <v>128</v>
      </c>
      <c r="C23" s="263">
        <f>'62 (2)'!D27</f>
        <v>130797</v>
      </c>
      <c r="D23" s="263">
        <f>'62 (2)'!E27</f>
        <v>91448</v>
      </c>
      <c r="E23" s="320">
        <f t="shared" si="0"/>
        <v>-39349</v>
      </c>
      <c r="F23" s="320">
        <f t="shared" si="1"/>
        <v>69.915976666131485</v>
      </c>
      <c r="H23" s="261"/>
    </row>
    <row r="24" spans="1:8" s="151" customFormat="1" ht="25.5" customHeight="1">
      <c r="A24" s="318" t="s">
        <v>116</v>
      </c>
      <c r="B24" s="319" t="s">
        <v>520</v>
      </c>
      <c r="C24" s="263">
        <f>'62 (2)'!D28</f>
        <v>88722</v>
      </c>
      <c r="D24" s="263">
        <f>'62 (2)'!E28</f>
        <v>68103</v>
      </c>
      <c r="E24" s="320">
        <f t="shared" ref="E24" si="2">D24-C24</f>
        <v>-20619</v>
      </c>
      <c r="F24" s="320">
        <f t="shared" ref="F24" si="3">D24/C24*100</f>
        <v>76.75999188476365</v>
      </c>
      <c r="H24" s="261"/>
    </row>
    <row r="25" spans="1:8" s="151" customFormat="1" ht="25.5" customHeight="1">
      <c r="A25" s="318" t="s">
        <v>117</v>
      </c>
      <c r="B25" s="319" t="s">
        <v>108</v>
      </c>
      <c r="C25" s="263">
        <f>'62 (2)'!D29</f>
        <v>2515194</v>
      </c>
      <c r="D25" s="263">
        <f>'62 (2)'!E29</f>
        <v>974944</v>
      </c>
      <c r="E25" s="320">
        <f t="shared" si="0"/>
        <v>-1540250</v>
      </c>
      <c r="F25" s="320">
        <f t="shared" si="1"/>
        <v>38.762178981024924</v>
      </c>
      <c r="H25" s="261"/>
    </row>
    <row r="26" spans="1:8" s="151" customFormat="1" ht="25.5" customHeight="1">
      <c r="A26" s="318" t="s">
        <v>118</v>
      </c>
      <c r="B26" s="319" t="s">
        <v>109</v>
      </c>
      <c r="C26" s="263">
        <f>'62 (2)'!D30</f>
        <v>1257126</v>
      </c>
      <c r="D26" s="263">
        <f>'62 (2)'!E30</f>
        <v>1610894.4</v>
      </c>
      <c r="E26" s="320">
        <f t="shared" si="0"/>
        <v>353768.39999999991</v>
      </c>
      <c r="F26" s="320">
        <f t="shared" si="1"/>
        <v>128.14104552765593</v>
      </c>
      <c r="H26" s="261"/>
    </row>
    <row r="27" spans="1:8" s="39" customFormat="1" ht="25.5" customHeight="1">
      <c r="A27" s="318" t="s">
        <v>523</v>
      </c>
      <c r="B27" s="319" t="s">
        <v>126</v>
      </c>
      <c r="C27" s="263">
        <f>'62 (2)'!D31</f>
        <v>378529</v>
      </c>
      <c r="D27" s="263">
        <f>'62 (2)'!E31</f>
        <v>403685</v>
      </c>
      <c r="E27" s="320">
        <f t="shared" si="0"/>
        <v>25156</v>
      </c>
      <c r="F27" s="320">
        <f t="shared" si="1"/>
        <v>106.64572595494666</v>
      </c>
      <c r="H27" s="197"/>
    </row>
    <row r="28" spans="1:8" s="151" customFormat="1" ht="25.5" customHeight="1">
      <c r="A28" s="318" t="s">
        <v>524</v>
      </c>
      <c r="B28" s="319" t="s">
        <v>119</v>
      </c>
      <c r="C28" s="263">
        <f>'62 (2)'!D32</f>
        <v>81594</v>
      </c>
      <c r="D28" s="263">
        <f>'62 (2)'!E32</f>
        <v>54121</v>
      </c>
      <c r="E28" s="320">
        <f t="shared" si="0"/>
        <v>-27473</v>
      </c>
      <c r="F28" s="320">
        <f t="shared" si="1"/>
        <v>66.329632080790262</v>
      </c>
      <c r="H28" s="261"/>
    </row>
    <row r="29" spans="1:8" s="39" customFormat="1" ht="25.5" customHeight="1">
      <c r="A29" s="280">
        <v>3</v>
      </c>
      <c r="B29" s="13" t="s">
        <v>156</v>
      </c>
      <c r="C29" s="263">
        <f>'62 (2)'!D33</f>
        <v>1000</v>
      </c>
      <c r="D29" s="263">
        <f>'62 (2)'!E33</f>
        <v>0</v>
      </c>
      <c r="E29" s="320">
        <f t="shared" si="0"/>
        <v>-1000</v>
      </c>
      <c r="F29" s="320">
        <f t="shared" si="1"/>
        <v>0</v>
      </c>
      <c r="H29" s="197"/>
    </row>
    <row r="30" spans="1:8" s="39" customFormat="1" ht="25.5" customHeight="1">
      <c r="A30" s="280">
        <v>4</v>
      </c>
      <c r="B30" s="13" t="s">
        <v>130</v>
      </c>
      <c r="C30" s="263">
        <f>'62'!D34</f>
        <v>589474</v>
      </c>
      <c r="D30" s="263">
        <f>'62'!E34</f>
        <v>0</v>
      </c>
      <c r="E30" s="320"/>
      <c r="F30" s="320">
        <f t="shared" si="1"/>
        <v>0</v>
      </c>
      <c r="H30" s="197"/>
    </row>
    <row r="31" spans="1:8" s="39" customFormat="1" ht="25.5" customHeight="1">
      <c r="A31" s="280">
        <v>5</v>
      </c>
      <c r="B31" s="13" t="s">
        <v>132</v>
      </c>
      <c r="C31" s="263">
        <f>'62'!D35</f>
        <v>1490785</v>
      </c>
      <c r="D31" s="263">
        <f>'62'!E35</f>
        <v>0</v>
      </c>
      <c r="E31" s="320"/>
      <c r="F31" s="320">
        <f t="shared" si="1"/>
        <v>0</v>
      </c>
      <c r="H31" s="197"/>
    </row>
    <row r="32" spans="1:8" s="39" customFormat="1" ht="25.5" customHeight="1">
      <c r="A32" s="280">
        <v>6</v>
      </c>
      <c r="B32" s="13" t="s">
        <v>133</v>
      </c>
      <c r="C32" s="263">
        <f>'62'!D36</f>
        <v>122452</v>
      </c>
      <c r="D32" s="263">
        <f>'62'!E36</f>
        <v>0</v>
      </c>
      <c r="E32" s="320"/>
      <c r="F32" s="320">
        <f t="shared" si="1"/>
        <v>0</v>
      </c>
      <c r="H32" s="197"/>
    </row>
    <row r="33" spans="1:8" s="39" customFormat="1" ht="25.5" customHeight="1">
      <c r="A33" s="280">
        <v>7</v>
      </c>
      <c r="B33" s="13" t="s">
        <v>134</v>
      </c>
      <c r="C33" s="263">
        <f>'62'!D37</f>
        <v>0</v>
      </c>
      <c r="D33" s="263">
        <f>'62'!E37</f>
        <v>0</v>
      </c>
      <c r="E33" s="320">
        <f t="shared" si="0"/>
        <v>0</v>
      </c>
      <c r="F33" s="320"/>
      <c r="H33" s="197"/>
    </row>
    <row r="34" spans="1:8" s="39" customFormat="1" ht="25.5" customHeight="1">
      <c r="A34" s="280">
        <v>8</v>
      </c>
      <c r="B34" s="79" t="s">
        <v>155</v>
      </c>
      <c r="C34" s="263">
        <f>'PL4834'!C33</f>
        <v>0</v>
      </c>
      <c r="D34" s="263">
        <f>'PL4834'!D33</f>
        <v>25547.599999999999</v>
      </c>
      <c r="E34" s="320">
        <f t="shared" si="0"/>
        <v>25547.599999999999</v>
      </c>
      <c r="F34" s="320">
        <v>0</v>
      </c>
      <c r="H34" s="197"/>
    </row>
    <row r="35" spans="1:8" s="39" customFormat="1" ht="25.5" customHeight="1">
      <c r="A35" s="280">
        <v>9</v>
      </c>
      <c r="B35" s="309" t="s">
        <v>135</v>
      </c>
      <c r="C35" s="296">
        <f>'62'!D39</f>
        <v>0</v>
      </c>
      <c r="D35" s="296">
        <f>'62'!E39</f>
        <v>9226</v>
      </c>
      <c r="E35" s="321"/>
      <c r="F35" s="321"/>
      <c r="H35" s="197"/>
    </row>
    <row r="36" spans="1:8" s="39" customFormat="1" ht="25.5" customHeight="1">
      <c r="A36" s="322" t="s">
        <v>90</v>
      </c>
      <c r="B36" s="323" t="s">
        <v>249</v>
      </c>
      <c r="C36" s="271">
        <v>0</v>
      </c>
      <c r="D36" s="295">
        <f>'62'!E33</f>
        <v>9016720</v>
      </c>
      <c r="E36" s="324">
        <f t="shared" si="0"/>
        <v>9016720</v>
      </c>
      <c r="F36" s="325"/>
      <c r="H36" s="197"/>
    </row>
  </sheetData>
  <mergeCells count="12">
    <mergeCell ref="A5:F5"/>
    <mergeCell ref="A6:F6"/>
    <mergeCell ref="D8:F8"/>
    <mergeCell ref="A1:B1"/>
    <mergeCell ref="A12:B12"/>
    <mergeCell ref="C9:C10"/>
    <mergeCell ref="D9:D10"/>
    <mergeCell ref="E9:F9"/>
    <mergeCell ref="B9:B10"/>
    <mergeCell ref="A9:A10"/>
    <mergeCell ref="D1:F1"/>
    <mergeCell ref="D2:F2"/>
  </mergeCells>
  <pageMargins left="0.33" right="0.36" top="0.87" bottom="0.17" header="0.54" footer="0.52"/>
  <pageSetup paperSize="9" scale="70" fitToHeight="5" orientation="portrait" r:id="rId1"/>
  <headerFooter alignWithMargins="0">
    <oddFooter xml:space="preserve">&amp;C&amp;".VnTime,Italic"&amp;8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28</vt:i4>
      </vt:variant>
    </vt:vector>
  </HeadingPairs>
  <TitlesOfParts>
    <vt:vector size="45" baseType="lpstr">
      <vt:lpstr>60</vt:lpstr>
      <vt:lpstr>61 (2)</vt:lpstr>
      <vt:lpstr>62 (2)</vt:lpstr>
      <vt:lpstr>61</vt:lpstr>
      <vt:lpstr>62</vt:lpstr>
      <vt:lpstr>PL4834</vt:lpstr>
      <vt:lpstr>PL5036</vt:lpstr>
      <vt:lpstr>PL5137</vt:lpstr>
      <vt:lpstr>PL5200</vt:lpstr>
      <vt:lpstr>PL5338</vt:lpstr>
      <vt:lpstr>PL5439 (ĐT)</vt:lpstr>
      <vt:lpstr>PL5439 (SN)</vt:lpstr>
      <vt:lpstr>PL5941</vt:lpstr>
      <vt:lpstr>PL5840</vt:lpstr>
      <vt:lpstr>PL6142 (HCSN)</vt:lpstr>
      <vt:lpstr>Biểu số 01</vt:lpstr>
      <vt:lpstr>Biểu số 70</vt:lpstr>
      <vt:lpstr>'60'!Print_Area</vt:lpstr>
      <vt:lpstr>'61'!Print_Area</vt:lpstr>
      <vt:lpstr>'61 (2)'!Print_Area</vt:lpstr>
      <vt:lpstr>'62'!Print_Area</vt:lpstr>
      <vt:lpstr>'62 (2)'!Print_Area</vt:lpstr>
      <vt:lpstr>'Biểu số 01'!Print_Area</vt:lpstr>
      <vt:lpstr>'PL4834'!Print_Area</vt:lpstr>
      <vt:lpstr>'PL5036'!Print_Area</vt:lpstr>
      <vt:lpstr>'PL5137'!Print_Area</vt:lpstr>
      <vt:lpstr>'PL5200'!Print_Area</vt:lpstr>
      <vt:lpstr>'PL5338'!Print_Area</vt:lpstr>
      <vt:lpstr>'PL5439 (ĐT)'!Print_Area</vt:lpstr>
      <vt:lpstr>'PL5941'!Print_Area</vt:lpstr>
      <vt:lpstr>'60'!Print_Titles</vt:lpstr>
      <vt:lpstr>'61'!Print_Titles</vt:lpstr>
      <vt:lpstr>'61 (2)'!Print_Titles</vt:lpstr>
      <vt:lpstr>'62'!Print_Titles</vt:lpstr>
      <vt:lpstr>'62 (2)'!Print_Titles</vt:lpstr>
      <vt:lpstr>'PL4834'!Print_Titles</vt:lpstr>
      <vt:lpstr>'PL5036'!Print_Titles</vt:lpstr>
      <vt:lpstr>'PL5137'!Print_Titles</vt:lpstr>
      <vt:lpstr>'PL5200'!Print_Titles</vt:lpstr>
      <vt:lpstr>'PL5338'!Print_Titles</vt:lpstr>
      <vt:lpstr>'PL5439 (ĐT)'!Print_Titles</vt:lpstr>
      <vt:lpstr>'PL5439 (SN)'!Print_Titles</vt:lpstr>
      <vt:lpstr>'PL5840'!Print_Titles</vt:lpstr>
      <vt:lpstr>'PL5941'!Print_Titles</vt:lpstr>
      <vt:lpstr>'PL6142 (HCSN)'!Print_Titles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mau1</dc:title>
  <dc:creator>DO QUNG HUNG</dc:creator>
  <cp:lastModifiedBy>lesytien</cp:lastModifiedBy>
  <cp:lastPrinted>2023-12-05T10:08:52Z</cp:lastPrinted>
  <dcterms:created xsi:type="dcterms:W3CDTF">1998-11-30T02:10:20Z</dcterms:created>
  <dcterms:modified xsi:type="dcterms:W3CDTF">2023-12-05T10:08:59Z</dcterms:modified>
</cp:coreProperties>
</file>